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5" windowWidth="21075" windowHeight="10545"/>
  </bookViews>
  <sheets>
    <sheet name="Estimated Annual Costs" sheetId="5" r:id="rId1"/>
    <sheet name="Annual Riser Costs" sheetId="2" r:id="rId2"/>
    <sheet name="Task Costs" sheetId="4" r:id="rId3"/>
    <sheet name="OPEX" sheetId="3" r:id="rId4"/>
    <sheet name="Capital" sheetId="1" r:id="rId5"/>
  </sheets>
  <externalReferences>
    <externalReference r:id="rId6"/>
  </externalReferences>
  <definedNames>
    <definedName name="_xlnm.Print_Area" localSheetId="1">'Annual Riser Costs'!$A$1:$J$22</definedName>
    <definedName name="_xlnm.Print_Area" localSheetId="4">Capital!$A$1:$N$18</definedName>
    <definedName name="_xlnm.Print_Area" localSheetId="0">'Estimated Annual Costs'!$A$1:$H$42</definedName>
    <definedName name="_xlnm.Print_Area" localSheetId="3">OPEX!$A$1:$N$36</definedName>
    <definedName name="_xlnm.Print_Area" localSheetId="2">'Task Costs'!$A$1:$Q$42</definedName>
    <definedName name="_xlnm.Print_Titles" localSheetId="3">OPEX!$1:$2</definedName>
  </definedNames>
  <calcPr calcId="145621"/>
</workbook>
</file>

<file path=xl/calcChain.xml><?xml version="1.0" encoding="utf-8"?>
<calcChain xmlns="http://schemas.openxmlformats.org/spreadsheetml/2006/main">
  <c r="G28" i="5" l="1"/>
  <c r="E28" i="5"/>
  <c r="D28" i="5"/>
  <c r="G38" i="5" l="1"/>
  <c r="D38" i="5"/>
  <c r="E38" i="5"/>
  <c r="F38" i="5"/>
  <c r="C38" i="5"/>
  <c r="F39" i="5"/>
  <c r="E39" i="5"/>
  <c r="D39" i="5"/>
  <c r="C39" i="5"/>
  <c r="M16" i="1"/>
  <c r="J4" i="3"/>
  <c r="L4" i="3" l="1"/>
  <c r="P32" i="4"/>
  <c r="E31" i="5"/>
  <c r="D31" i="5"/>
  <c r="G25" i="5"/>
  <c r="G26" i="5"/>
  <c r="G27" i="5"/>
  <c r="G29" i="5"/>
  <c r="G24" i="5"/>
  <c r="E25" i="5"/>
  <c r="E26" i="5"/>
  <c r="E27" i="5"/>
  <c r="E29" i="5"/>
  <c r="E24" i="5"/>
  <c r="D25" i="5"/>
  <c r="D26" i="5"/>
  <c r="D27" i="5"/>
  <c r="D29" i="5"/>
  <c r="D24" i="5"/>
  <c r="E22" i="5"/>
  <c r="E21" i="5"/>
  <c r="D22" i="5"/>
  <c r="D21" i="5"/>
  <c r="F7" i="5"/>
  <c r="F8" i="5"/>
  <c r="F9" i="5"/>
  <c r="F10" i="5"/>
  <c r="F11" i="5"/>
  <c r="F12" i="5"/>
  <c r="F13" i="5"/>
  <c r="F14" i="5"/>
  <c r="F15" i="5"/>
  <c r="F16" i="5"/>
  <c r="F17" i="5"/>
  <c r="F6" i="5"/>
  <c r="E7" i="5"/>
  <c r="E8" i="5"/>
  <c r="E9" i="5"/>
  <c r="E10" i="5"/>
  <c r="E11" i="5"/>
  <c r="E12" i="5"/>
  <c r="E13" i="5"/>
  <c r="E14" i="5"/>
  <c r="E15" i="5"/>
  <c r="E16" i="5"/>
  <c r="E17" i="5"/>
  <c r="E6" i="5"/>
  <c r="D7" i="5"/>
  <c r="D8" i="5"/>
  <c r="D9" i="5"/>
  <c r="D10" i="5"/>
  <c r="D11" i="5"/>
  <c r="D12" i="5"/>
  <c r="D13" i="5"/>
  <c r="D14" i="5"/>
  <c r="D15" i="5"/>
  <c r="D16" i="5"/>
  <c r="D17" i="5"/>
  <c r="D6" i="5"/>
  <c r="G39" i="5"/>
  <c r="D42" i="5"/>
  <c r="E42" i="5"/>
  <c r="F42" i="5"/>
  <c r="G42" i="5"/>
  <c r="C42" i="5"/>
  <c r="H42" i="5"/>
  <c r="C41" i="5"/>
  <c r="O32" i="4"/>
  <c r="E41" i="4"/>
  <c r="D39" i="4"/>
  <c r="D38" i="4"/>
  <c r="M32" i="4"/>
  <c r="P30" i="4"/>
  <c r="M30" i="4"/>
  <c r="O30" i="4" s="1"/>
  <c r="Q30" i="4" s="1"/>
  <c r="P29" i="4"/>
  <c r="H29" i="4"/>
  <c r="G29" i="4"/>
  <c r="M29" i="4" s="1"/>
  <c r="O29" i="4" s="1"/>
  <c r="Q29" i="4" s="1"/>
  <c r="F29" i="4"/>
  <c r="E29" i="4"/>
  <c r="P28" i="4"/>
  <c r="M28" i="4"/>
  <c r="O28" i="4" s="1"/>
  <c r="Q28" i="4" s="1"/>
  <c r="P27" i="4"/>
  <c r="M27" i="4"/>
  <c r="O27" i="4" s="1"/>
  <c r="Q27" i="4" s="1"/>
  <c r="P26" i="4"/>
  <c r="M26" i="4"/>
  <c r="O26" i="4" s="1"/>
  <c r="Q26" i="4" s="1"/>
  <c r="P25" i="4"/>
  <c r="M25" i="4"/>
  <c r="O25" i="4" s="1"/>
  <c r="Q25" i="4" s="1"/>
  <c r="P24" i="4"/>
  <c r="M24" i="4"/>
  <c r="O24" i="4" s="1"/>
  <c r="Q24" i="4" s="1"/>
  <c r="P23" i="4"/>
  <c r="M23" i="4"/>
  <c r="O23" i="4" s="1"/>
  <c r="Q23" i="4" s="1"/>
  <c r="M21" i="4"/>
  <c r="O21" i="4" s="1"/>
  <c r="P21" i="4"/>
  <c r="M20" i="4"/>
  <c r="P20" i="4"/>
  <c r="P18" i="4"/>
  <c r="O18" i="4"/>
  <c r="Q18" i="4" s="1"/>
  <c r="M18" i="4"/>
  <c r="P17" i="4"/>
  <c r="O17" i="4"/>
  <c r="Q17" i="4" s="1"/>
  <c r="M17" i="4"/>
  <c r="P16" i="4"/>
  <c r="O16" i="4"/>
  <c r="Q16" i="4" s="1"/>
  <c r="M16" i="4"/>
  <c r="P15" i="4"/>
  <c r="O15" i="4"/>
  <c r="Q15" i="4" s="1"/>
  <c r="M15" i="4"/>
  <c r="P14" i="4"/>
  <c r="O14" i="4"/>
  <c r="Q14" i="4" s="1"/>
  <c r="M14" i="4"/>
  <c r="P13" i="4"/>
  <c r="O13" i="4"/>
  <c r="Q13" i="4" s="1"/>
  <c r="M13" i="4"/>
  <c r="P12" i="4"/>
  <c r="O12" i="4"/>
  <c r="Q12" i="4" s="1"/>
  <c r="M12" i="4"/>
  <c r="P11" i="4"/>
  <c r="O11" i="4"/>
  <c r="Q11" i="4" s="1"/>
  <c r="M11" i="4"/>
  <c r="P10" i="4"/>
  <c r="O10" i="4"/>
  <c r="Q10" i="4" s="1"/>
  <c r="M10" i="4"/>
  <c r="P9" i="4"/>
  <c r="O9" i="4"/>
  <c r="Q9" i="4" s="1"/>
  <c r="M9" i="4"/>
  <c r="P8" i="4"/>
  <c r="O8" i="4"/>
  <c r="Q8" i="4" s="1"/>
  <c r="M8" i="4"/>
  <c r="P7" i="4"/>
  <c r="O7" i="4"/>
  <c r="Q7" i="4" s="1"/>
  <c r="Q19" i="4" s="1"/>
  <c r="M7" i="4"/>
  <c r="C22" i="2"/>
  <c r="C17" i="2"/>
  <c r="D17" i="2" s="1"/>
  <c r="E17" i="2" s="1"/>
  <c r="C14" i="2"/>
  <c r="D14" i="2" s="1"/>
  <c r="E14" i="2" s="1"/>
  <c r="B9" i="2"/>
  <c r="B18" i="2" s="1"/>
  <c r="B8" i="2"/>
  <c r="D7" i="2"/>
  <c r="E7" i="2" s="1"/>
  <c r="F7" i="2" s="1"/>
  <c r="C7" i="2"/>
  <c r="B6" i="2"/>
  <c r="H36" i="3"/>
  <c r="J35" i="3"/>
  <c r="J34" i="3"/>
  <c r="J33" i="3"/>
  <c r="J32" i="3"/>
  <c r="J31" i="3"/>
  <c r="J30" i="3"/>
  <c r="J29" i="3"/>
  <c r="J28" i="3"/>
  <c r="J27" i="3"/>
  <c r="J26" i="3"/>
  <c r="J24" i="3"/>
  <c r="J23" i="3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L16" i="3" s="1"/>
  <c r="J15" i="3"/>
  <c r="L15" i="3" s="1"/>
  <c r="J14" i="3"/>
  <c r="L14" i="3" s="1"/>
  <c r="J13" i="3"/>
  <c r="L13" i="3" s="1"/>
  <c r="J12" i="3"/>
  <c r="J11" i="3"/>
  <c r="J10" i="3"/>
  <c r="J9" i="3"/>
  <c r="J8" i="3"/>
  <c r="J7" i="3"/>
  <c r="J6" i="3"/>
  <c r="J5" i="3"/>
  <c r="E5" i="3"/>
  <c r="I36" i="3"/>
  <c r="E4" i="3"/>
  <c r="J3" i="3"/>
  <c r="I18" i="1"/>
  <c r="J16" i="1"/>
  <c r="J15" i="1"/>
  <c r="J14" i="1"/>
  <c r="J13" i="1"/>
  <c r="J12" i="1"/>
  <c r="J11" i="1"/>
  <c r="J10" i="1"/>
  <c r="H18" i="1"/>
  <c r="G8" i="1"/>
  <c r="C8" i="1"/>
  <c r="F8" i="1" s="1"/>
  <c r="E8" i="1"/>
  <c r="J7" i="1"/>
  <c r="K7" i="1" s="1"/>
  <c r="J6" i="1"/>
  <c r="K6" i="1" s="1"/>
  <c r="J5" i="1"/>
  <c r="K5" i="1" s="1"/>
  <c r="J4" i="1"/>
  <c r="K4" i="1" s="1"/>
  <c r="J3" i="1"/>
  <c r="L6" i="3" l="1"/>
  <c r="L8" i="3"/>
  <c r="L10" i="3"/>
  <c r="L12" i="3"/>
  <c r="L3" i="3"/>
  <c r="L5" i="3"/>
  <c r="L7" i="3"/>
  <c r="L9" i="3"/>
  <c r="L11" i="3"/>
  <c r="M24" i="3"/>
  <c r="F19" i="5" s="1"/>
  <c r="Q21" i="4"/>
  <c r="F22" i="5" s="1"/>
  <c r="D41" i="5"/>
  <c r="C40" i="5"/>
  <c r="Q32" i="4"/>
  <c r="G31" i="5" s="1"/>
  <c r="O20" i="4"/>
  <c r="Q20" i="4" s="1"/>
  <c r="F21" i="5" s="1"/>
  <c r="B10" i="2"/>
  <c r="B13" i="2" s="1"/>
  <c r="K36" i="3"/>
  <c r="M36" i="3"/>
  <c r="L23" i="3"/>
  <c r="F18" i="5" s="1"/>
  <c r="J36" i="3"/>
  <c r="J8" i="1"/>
  <c r="K8" i="1" s="1"/>
  <c r="K3" i="1"/>
  <c r="C37" i="5" l="1"/>
  <c r="D37" i="5" s="1"/>
  <c r="E37" i="5" s="1"/>
  <c r="J18" i="1"/>
  <c r="D40" i="5"/>
  <c r="E41" i="5"/>
  <c r="B11" i="2"/>
  <c r="L36" i="3"/>
  <c r="F41" i="5" l="1"/>
  <c r="E40" i="5"/>
  <c r="F37" i="5"/>
  <c r="C9" i="2"/>
  <c r="C8" i="2"/>
  <c r="C6" i="2" s="1"/>
  <c r="F40" i="5" l="1"/>
  <c r="G41" i="5"/>
  <c r="G40" i="5" s="1"/>
  <c r="G37" i="5"/>
  <c r="G36" i="5" s="1"/>
  <c r="C18" i="2"/>
  <c r="C10" i="2"/>
  <c r="C13" i="2" s="1"/>
  <c r="H37" i="5" l="1"/>
  <c r="H41" i="5"/>
  <c r="H40" i="5"/>
  <c r="C11" i="2"/>
  <c r="D8" i="2" l="1"/>
  <c r="D6" i="2" s="1"/>
  <c r="D9" i="2" l="1"/>
  <c r="D18" i="2" l="1"/>
  <c r="D10" i="2"/>
  <c r="D13" i="2" s="1"/>
  <c r="D11" i="2"/>
  <c r="E36" i="5" l="1"/>
  <c r="E9" i="2"/>
  <c r="E8" i="2"/>
  <c r="E6" i="2" s="1"/>
  <c r="E18" i="2" l="1"/>
  <c r="E10" i="2"/>
  <c r="E13" i="2" s="1"/>
  <c r="G13" i="2" l="1"/>
  <c r="E11" i="2"/>
  <c r="F36" i="5" l="1"/>
  <c r="H39" i="5"/>
  <c r="F8" i="2"/>
  <c r="F6" i="2" s="1"/>
  <c r="G6" i="2" s="1"/>
  <c r="F9" i="2" l="1"/>
  <c r="F10" i="2" l="1"/>
  <c r="F11" i="2" s="1"/>
  <c r="C36" i="5" l="1"/>
  <c r="G16" i="2"/>
  <c r="H38" i="5"/>
  <c r="D36" i="5"/>
  <c r="H36" i="5" l="1"/>
</calcChain>
</file>

<file path=xl/sharedStrings.xml><?xml version="1.0" encoding="utf-8"?>
<sst xmlns="http://schemas.openxmlformats.org/spreadsheetml/2006/main" count="546" uniqueCount="214">
  <si>
    <t>Existing Accounting Numbers</t>
  </si>
  <si>
    <t>2013 Accounting Numbers</t>
  </si>
  <si>
    <t>Baseline Expenditures</t>
  </si>
  <si>
    <t>Tracking Mechanism Projects - Impacts</t>
  </si>
  <si>
    <t>Work Description</t>
  </si>
  <si>
    <t>Project</t>
  </si>
  <si>
    <t>Task</t>
  </si>
  <si>
    <t>CAPEX / OPEX</t>
  </si>
  <si>
    <t>April 1, 2011 - December 31, 2012</t>
  </si>
  <si>
    <t>January 1, 2012 - March 31, 2013</t>
  </si>
  <si>
    <t>Test Year Expenditures</t>
  </si>
  <si>
    <t>Leak Mitigation</t>
  </si>
  <si>
    <t>Customer Service Ownership</t>
  </si>
  <si>
    <t>Gas Service Risers</t>
  </si>
  <si>
    <t>CAPEX</t>
  </si>
  <si>
    <t>Assumptions</t>
  </si>
  <si>
    <t>Service renewals</t>
  </si>
  <si>
    <t>RRCS419G</t>
  </si>
  <si>
    <t>IN</t>
  </si>
  <si>
    <t>Company service renewals reduced 10% by LMP.</t>
  </si>
  <si>
    <t>Unprotected Company Service Replacements should go to zero by 2016.</t>
  </si>
  <si>
    <t>Accrual</t>
  </si>
  <si>
    <t>CAPACCRUAL</t>
  </si>
  <si>
    <t>Service Renewals Investment</t>
  </si>
  <si>
    <t>I</t>
  </si>
  <si>
    <t>Renew Co Service</t>
  </si>
  <si>
    <t>IN-C</t>
  </si>
  <si>
    <t>RRCS422G</t>
  </si>
  <si>
    <t>Incremental Work Tasks</t>
  </si>
  <si>
    <t>Install commercial meter set</t>
  </si>
  <si>
    <t>NA</t>
  </si>
  <si>
    <t>TBD</t>
  </si>
  <si>
    <t>Install industrial meter set</t>
  </si>
  <si>
    <t>Install large residential meter set</t>
  </si>
  <si>
    <t>Install customer service (NB)</t>
  </si>
  <si>
    <t>Replace customer service concurrent with company service replacement</t>
  </si>
  <si>
    <t xml:space="preserve">Replace customer services </t>
  </si>
  <si>
    <t>Year 1 costs for 5 year program.</t>
  </si>
  <si>
    <t>Tracking Mechanism - OPEX Impacts</t>
  </si>
  <si>
    <t>April 1, 2011 - December 31, 2011</t>
  </si>
  <si>
    <t>January 1, 2012 - March 31, 2012</t>
  </si>
  <si>
    <t>OPEX</t>
  </si>
  <si>
    <t>Test and Reconnect</t>
  </si>
  <si>
    <t>CUST419G</t>
  </si>
  <si>
    <t>TC</t>
  </si>
  <si>
    <t>OCUST419</t>
  </si>
  <si>
    <t>100% capital after obtaining approval to own CU service</t>
  </si>
  <si>
    <t>Test and Reconnect (Bardstown)</t>
  </si>
  <si>
    <t>Test and Reconnect (Mul)</t>
  </si>
  <si>
    <t>Test and Reconnect (Mag)</t>
  </si>
  <si>
    <t>Cut and Cap (LG&amp;E)</t>
  </si>
  <si>
    <t>CC</t>
  </si>
  <si>
    <t>Should reduce drastically after obtaining approval to own CU service; transition to primarily capital expense associated with CU service work.</t>
  </si>
  <si>
    <t>Cut and Cap (Bardstown)</t>
  </si>
  <si>
    <t>101761</t>
  </si>
  <si>
    <t>OCUST420</t>
  </si>
  <si>
    <t>Cut and Cap (Mag)</t>
  </si>
  <si>
    <t>Cut and Cap (Mul)</t>
  </si>
  <si>
    <t>Information to Customer</t>
  </si>
  <si>
    <t>IF</t>
  </si>
  <si>
    <t>CU service related information requests should drop about 50%.</t>
  </si>
  <si>
    <t>Inspect CU Facilities</t>
  </si>
  <si>
    <t>Turn off</t>
  </si>
  <si>
    <t>TF</t>
  </si>
  <si>
    <t>Turn offs to facilitate customer repair/installation work on CU service to be reduced 50%.</t>
  </si>
  <si>
    <t>Turn on</t>
  </si>
  <si>
    <t>TON</t>
  </si>
  <si>
    <t>Turn ons to facilitate customer repair/installation work on CU service to be reduced 50%.</t>
  </si>
  <si>
    <t>Turn on/Off (Mag)</t>
  </si>
  <si>
    <t>Turn ons to facilitate customer repair/installation work on CU service to be reduced by roughly 50%.</t>
  </si>
  <si>
    <t>Turn On/Off (Bardstown)</t>
  </si>
  <si>
    <t>101481</t>
  </si>
  <si>
    <t>TO</t>
  </si>
  <si>
    <t>Install Repair Clamp</t>
  </si>
  <si>
    <t>LEAK419G</t>
  </si>
  <si>
    <t>CLAMP</t>
  </si>
  <si>
    <t>OLEAK419</t>
  </si>
  <si>
    <t>Leaks should reduce as Leak Mitigation Program expands - 20%.</t>
  </si>
  <si>
    <t>Seal Cast Iron Joints</t>
  </si>
  <si>
    <t>JOINTS</t>
  </si>
  <si>
    <t>Joint sealing should ultimately be eliminated when the LSMR program has been completed (100% eliminated by 2016).</t>
  </si>
  <si>
    <t>Repair Service</t>
  </si>
  <si>
    <t>RS</t>
  </si>
  <si>
    <t>Company service repairs reduced through leak elimination program - 10%.</t>
  </si>
  <si>
    <t>Repair/Curb Co Service (Mag)</t>
  </si>
  <si>
    <t>OLEAK420</t>
  </si>
  <si>
    <t>Repair/Curb Co Service (Mul)</t>
  </si>
  <si>
    <t>Dewater main or service</t>
  </si>
  <si>
    <t>TRLB419G</t>
  </si>
  <si>
    <t>DWMS</t>
  </si>
  <si>
    <t>OTBRD419</t>
  </si>
  <si>
    <t>Should be reduced drastically with elimination of LP - 80%</t>
  </si>
  <si>
    <t>SHA</t>
  </si>
  <si>
    <t>RISERSURVEY</t>
  </si>
  <si>
    <t>Repair Meter Loop Leak</t>
  </si>
  <si>
    <t>100% of tasks after obtaining approval to own CU Service</t>
  </si>
  <si>
    <t>Paint Rusty Meter Loop</t>
  </si>
  <si>
    <t>Remove tree/vegetation in meter loop</t>
  </si>
  <si>
    <t>Remove Meter Loop from Concrete</t>
  </si>
  <si>
    <t>Provide Meter Clearance from Ground</t>
  </si>
  <si>
    <t>Install Meter Protection/ Barricades</t>
  </si>
  <si>
    <t>Install Meter Brackets</t>
  </si>
  <si>
    <t>Repair Unlocatable Customer Services</t>
  </si>
  <si>
    <t>OPEX expenses associated with OpQual, TR, and CC expenses for customers that accelerate replacement.</t>
  </si>
  <si>
    <t>Target Gas Service Riser Survey</t>
  </si>
  <si>
    <t>Failed Gas Service Riser Replacements</t>
  </si>
  <si>
    <t>Incremental Leak Survey for Target Gas Service Risers</t>
  </si>
  <si>
    <t>Accelerated Customer Riser Replacements</t>
  </si>
  <si>
    <t>Replace Target Customer Owned Gas Service Risers</t>
  </si>
  <si>
    <t>Target Gas Service Risers</t>
  </si>
  <si>
    <t>Riser Replacement Costs</t>
  </si>
  <si>
    <t>Unit Rates</t>
  </si>
  <si>
    <t>Company Replacements</t>
  </si>
  <si>
    <t>Year 1 - due to ramp up time needed</t>
  </si>
  <si>
    <t>Minus Company Replacements</t>
  </si>
  <si>
    <r>
      <t xml:space="preserve">Acclerated Replacements </t>
    </r>
    <r>
      <rPr>
        <b/>
        <sz val="9"/>
        <color theme="3" tint="0.39997558519241921"/>
        <rFont val="Calibri"/>
        <family val="2"/>
        <scheme val="minor"/>
      </rPr>
      <t>(5% of remaining target risers)</t>
    </r>
  </si>
  <si>
    <t>End of Year Inventory</t>
  </si>
  <si>
    <t>Accelerated Gas Service Riser Replacements</t>
  </si>
  <si>
    <t>Tracking Mechanism</t>
  </si>
  <si>
    <t>Unit Rate</t>
  </si>
  <si>
    <t>Incremental Leak Survey $ per year</t>
  </si>
  <si>
    <t>Incremental OPEX for 5 year program</t>
  </si>
  <si>
    <t># Per Year</t>
  </si>
  <si>
    <t>LG&amp;E Gas Distribution</t>
  </si>
  <si>
    <t>Gas Service Maintenance, Operations, Repair, and Construction Costs</t>
  </si>
  <si>
    <t>Labor Hours</t>
  </si>
  <si>
    <t>Unburdened Unit Costs</t>
  </si>
  <si>
    <t>Burdened Total Costs</t>
  </si>
  <si>
    <t>Task #</t>
  </si>
  <si>
    <t>Description</t>
  </si>
  <si>
    <t>Units</t>
  </si>
  <si>
    <t>Travel Time</t>
  </si>
  <si>
    <t>Staging</t>
  </si>
  <si>
    <t>Field Work</t>
  </si>
  <si>
    <t>Closing</t>
  </si>
  <si>
    <t>Admin</t>
  </si>
  <si>
    <t>Crew Size</t>
  </si>
  <si>
    <t>Job Description</t>
  </si>
  <si>
    <t>Labor Resource</t>
  </si>
  <si>
    <t>Labor</t>
  </si>
  <si>
    <t>Materials</t>
  </si>
  <si>
    <t>Total</t>
  </si>
  <si>
    <t>Repair meter loop leak</t>
  </si>
  <si>
    <t>A</t>
  </si>
  <si>
    <t>Paint rusty meter loop</t>
  </si>
  <si>
    <t>Remove meter loop from concrete</t>
  </si>
  <si>
    <t>Provide meter clearance from the ground</t>
  </si>
  <si>
    <t>Install meter protection/barricades</t>
  </si>
  <si>
    <t>Install meter brackets (loose meter)</t>
  </si>
  <si>
    <t>Repair unlocatable customer services</t>
  </si>
  <si>
    <t>Cut and Cap</t>
  </si>
  <si>
    <t>Turn Off/Turn On</t>
  </si>
  <si>
    <t>Spot/Inspect Customer Service</t>
  </si>
  <si>
    <t>D</t>
  </si>
  <si>
    <t>Total On-Going Opex</t>
  </si>
  <si>
    <t>Leak Survey Target Service Risers (Incremental - 2/3)</t>
  </si>
  <si>
    <t>C</t>
  </si>
  <si>
    <r>
      <t>Acclerated Riser Replacements - Cut &amp; Cap, Operator Qualification Inspection, Test and Reconnect</t>
    </r>
    <r>
      <rPr>
        <b/>
        <sz val="11"/>
        <color rgb="FFC00000"/>
        <rFont val="Calibri"/>
        <family val="2"/>
        <scheme val="minor"/>
      </rPr>
      <t xml:space="preserve"> (5% of customers accelerate replacement).</t>
    </r>
  </si>
  <si>
    <t>Capital</t>
  </si>
  <si>
    <t>Install Customer Service (New Business)</t>
  </si>
  <si>
    <t>Install Customer Riser (New Business)</t>
  </si>
  <si>
    <t>Replace Customer Services</t>
  </si>
  <si>
    <t>Install Riser on Customer Service Replacements</t>
  </si>
  <si>
    <t>Replace Cust Services as Comp Service is Replaced</t>
  </si>
  <si>
    <t>Indirect Costs</t>
  </si>
  <si>
    <t>Job #</t>
  </si>
  <si>
    <t>Company Labor Rate</t>
  </si>
  <si>
    <t>Contractor Labor Rate</t>
  </si>
  <si>
    <t>Contractor &amp; Materials</t>
  </si>
  <si>
    <t>Gas Mechanic</t>
  </si>
  <si>
    <t>B</t>
  </si>
  <si>
    <t>Gas Inspector</t>
  </si>
  <si>
    <t>Leak Inspector</t>
  </si>
  <si>
    <t>General Laborer</t>
  </si>
  <si>
    <t>Budget Implications</t>
  </si>
  <si>
    <t>Task Description</t>
  </si>
  <si>
    <t>Estimated Units (2013)</t>
  </si>
  <si>
    <t>Unit Costs (Raw)</t>
  </si>
  <si>
    <t>Estimated Year 1 (2013)           Costs (Burdened)</t>
  </si>
  <si>
    <t>CAPITAL</t>
  </si>
  <si>
    <t>Assume 100% of Incremental OPEX upon approval of LG&amp;E owning service</t>
  </si>
  <si>
    <t>Estimated OPEX cost avoidance after LG&amp;E assumes ownership of customer service</t>
  </si>
  <si>
    <t>2011 Baseline Expense - Eliminated in 2012 with Customer Service Ownership</t>
  </si>
  <si>
    <t>Replace Failed Service Risers - Failure Assessment (2011 Baseline Expense)</t>
  </si>
  <si>
    <t>Gas Service Survey (2011 Baseline Expense)</t>
  </si>
  <si>
    <t xml:space="preserve">2011 Baseline Expense </t>
  </si>
  <si>
    <t>Annual budget impact variable based on alternative selected.</t>
  </si>
  <si>
    <t>Assume 100% of Incremental CAPEX upon approval of LG&amp;E owning service</t>
  </si>
  <si>
    <t>Alternative Description</t>
  </si>
  <si>
    <t>Totals</t>
  </si>
  <si>
    <t>Opex</t>
  </si>
  <si>
    <t>3% annual increase</t>
  </si>
  <si>
    <r>
      <t>Ongoing Maintenance and Repairs</t>
    </r>
    <r>
      <rPr>
        <sz val="11"/>
        <color rgb="FFC00000"/>
        <rFont val="Calibri"/>
        <family val="2"/>
        <scheme val="minor"/>
      </rPr>
      <t xml:space="preserve"> (Tasks 1-14)</t>
    </r>
  </si>
  <si>
    <t>Incremental Costs minus 2011 Baseline Expenses associated with Customer Service Ownership.</t>
  </si>
  <si>
    <t>Leak survey remaining inventory of risers; exclude 10% of customer replaced risers after year 1.</t>
  </si>
  <si>
    <t>Incremental costs associated with installation and replacement of customer service and meter piping.</t>
  </si>
  <si>
    <r>
      <t>Accelerated Customer Riser Replacements</t>
    </r>
    <r>
      <rPr>
        <sz val="11"/>
        <color rgb="FFC00000"/>
        <rFont val="Calibri"/>
        <family val="2"/>
        <scheme val="minor"/>
      </rPr>
      <t xml:space="preserve"> (Task 16 @ 5% of Target Totals - year 1)</t>
    </r>
  </si>
  <si>
    <r>
      <t xml:space="preserve">Ongoing Construction and Replacement </t>
    </r>
    <r>
      <rPr>
        <sz val="11"/>
        <color rgb="FFC00000"/>
        <rFont val="Calibri"/>
        <family val="2"/>
        <scheme val="minor"/>
      </rPr>
      <t>(Tasks 17-22)</t>
    </r>
  </si>
  <si>
    <t>Gas Service Riser and Customer Service Ownership</t>
  </si>
  <si>
    <t>Year 1 - 10% of total; year 2-5 - 1% of remaining target risers.</t>
  </si>
  <si>
    <t>Implement a program to systematically replace target risers over 5 years (year 1 replacements).</t>
  </si>
  <si>
    <r>
      <t>Leak Survey Remaining Target Risers Annually</t>
    </r>
    <r>
      <rPr>
        <sz val="11"/>
        <color rgb="FFC00000"/>
        <rFont val="Calibri"/>
        <family val="2"/>
        <scheme val="minor"/>
      </rPr>
      <t xml:space="preserve"> (Task 15)</t>
    </r>
  </si>
  <si>
    <r>
      <t>Replace Target Customer Owned Gas Service Risers</t>
    </r>
    <r>
      <rPr>
        <sz val="11"/>
        <color rgb="FFC00000"/>
        <rFont val="Calibri"/>
        <family val="2"/>
        <scheme val="minor"/>
      </rPr>
      <t xml:space="preserve"> (Task 25)</t>
    </r>
  </si>
  <si>
    <t>Implement program to replace all target customer owned gas service risers and assume ownership of cust service lines and risers as they are replaced</t>
  </si>
  <si>
    <t>Annual estimated budget impact  based on alternative selected/outstanding target risers.</t>
  </si>
  <si>
    <t>Replacing 20% of existing target risers 2013-2017; exclude 10% customer replaced (accelerated) units after year 1.</t>
  </si>
  <si>
    <t>80% of 2/3 of target risers in year 1; trending lower as risers are replaced.</t>
  </si>
  <si>
    <t>Survey conducted during baseline period to identify target risers.</t>
  </si>
  <si>
    <t>TR</t>
  </si>
  <si>
    <t>INSP</t>
  </si>
  <si>
    <t>CS</t>
  </si>
  <si>
    <t>RRCS421G</t>
  </si>
  <si>
    <t>Rem/Repl Gas Service 421</t>
  </si>
  <si>
    <t>Acclerated Riser Replacements - Cut &amp; Cap, Operator Qualification Inspection, Test and Reconnect (5% of customers accelerate replacement).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</si>
</sst>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&quot;$&quot;#,##0.00"/>
    <numFmt numFmtId="168" formatCode="0.0"/>
    <numFmt numFmtId="169" formatCode="_(* #,##0.0_);_(* \(#,##0.0\);_(* &quot;-&quot;?_);_(@_)"/>
    <numFmt numFmtId="170" formatCode="_(&quot;$&quot;* #,##0.000_);_(&quot;$&quot;* \(#,##0.0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</cellStyleXfs>
  <cellXfs count="35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64" fontId="3" fillId="5" borderId="8" xfId="2" applyNumberFormat="1" applyFont="1" applyFill="1" applyBorder="1" applyAlignment="1">
      <alignment horizontal="center" vertical="center" wrapText="1"/>
    </xf>
    <xf numFmtId="164" fontId="3" fillId="5" borderId="9" xfId="2" applyNumberFormat="1" applyFont="1" applyFill="1" applyBorder="1" applyAlignment="1">
      <alignment horizontal="center" vertical="center" wrapText="1"/>
    </xf>
    <xf numFmtId="164" fontId="3" fillId="5" borderId="10" xfId="2" applyNumberFormat="1" applyFont="1" applyFill="1" applyBorder="1" applyAlignment="1">
      <alignment horizontal="center" vertical="center" wrapText="1"/>
    </xf>
    <xf numFmtId="164" fontId="3" fillId="5" borderId="5" xfId="2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ont="1" applyBorder="1" applyProtection="1">
      <protection locked="0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164" fontId="1" fillId="0" borderId="18" xfId="2" applyNumberFormat="1" applyFont="1" applyBorder="1" applyAlignment="1">
      <alignment vertical="top"/>
    </xf>
    <xf numFmtId="164" fontId="1" fillId="0" borderId="13" xfId="2" applyNumberFormat="1" applyFont="1" applyBorder="1" applyAlignment="1">
      <alignment vertical="top"/>
    </xf>
    <xf numFmtId="164" fontId="3" fillId="0" borderId="19" xfId="2" applyNumberFormat="1" applyFont="1" applyBorder="1" applyAlignment="1">
      <alignment vertical="top"/>
    </xf>
    <xf numFmtId="164" fontId="1" fillId="0" borderId="12" xfId="2" applyNumberFormat="1" applyFont="1" applyBorder="1" applyAlignment="1">
      <alignment horizontal="center" vertical="top"/>
    </xf>
    <xf numFmtId="164" fontId="1" fillId="0" borderId="16" xfId="2" applyNumberFormat="1" applyFont="1" applyBorder="1" applyAlignment="1">
      <alignment horizontal="center" vertical="top"/>
    </xf>
    <xf numFmtId="164" fontId="1" fillId="0" borderId="14" xfId="2" applyNumberFormat="1" applyFont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ill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164" fontId="1" fillId="0" borderId="23" xfId="2" applyNumberFormat="1" applyFont="1" applyFill="1" applyBorder="1" applyAlignment="1">
      <alignment vertical="top"/>
    </xf>
    <xf numFmtId="164" fontId="1" fillId="0" borderId="15" xfId="2" applyNumberFormat="1" applyFont="1" applyFill="1" applyBorder="1" applyAlignment="1">
      <alignment vertical="top"/>
    </xf>
    <xf numFmtId="164" fontId="3" fillId="0" borderId="24" xfId="2" applyNumberFormat="1" applyFont="1" applyFill="1" applyBorder="1" applyAlignment="1">
      <alignment vertical="top"/>
    </xf>
    <xf numFmtId="164" fontId="1" fillId="0" borderId="25" xfId="2" applyNumberFormat="1" applyFont="1" applyFill="1" applyBorder="1" applyAlignment="1">
      <alignment horizontal="center" vertical="top"/>
    </xf>
    <xf numFmtId="164" fontId="1" fillId="0" borderId="22" xfId="2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5" xfId="0" applyFill="1" applyBorder="1" applyAlignment="1">
      <alignment horizontal="center" vertical="top"/>
    </xf>
    <xf numFmtId="0" fontId="3" fillId="6" borderId="27" xfId="0" applyFont="1" applyFill="1" applyBorder="1" applyAlignment="1">
      <alignment vertical="top"/>
    </xf>
    <xf numFmtId="0" fontId="0" fillId="6" borderId="28" xfId="0" applyFill="1" applyBorder="1" applyAlignment="1">
      <alignment horizontal="center" vertical="top"/>
    </xf>
    <xf numFmtId="0" fontId="0" fillId="6" borderId="29" xfId="0" applyFill="1" applyBorder="1" applyAlignment="1">
      <alignment horizontal="center" vertical="top"/>
    </xf>
    <xf numFmtId="0" fontId="0" fillId="6" borderId="17" xfId="0" applyFill="1" applyBorder="1" applyAlignment="1">
      <alignment horizontal="center" vertical="top"/>
    </xf>
    <xf numFmtId="0" fontId="0" fillId="6" borderId="30" xfId="0" applyFill="1" applyBorder="1" applyAlignment="1">
      <alignment horizontal="center" vertical="top"/>
    </xf>
    <xf numFmtId="164" fontId="1" fillId="6" borderId="31" xfId="2" applyNumberFormat="1" applyFont="1" applyFill="1" applyBorder="1" applyAlignment="1">
      <alignment vertical="top"/>
    </xf>
    <xf numFmtId="164" fontId="1" fillId="6" borderId="29" xfId="2" applyNumberFormat="1" applyFont="1" applyFill="1" applyBorder="1" applyAlignment="1">
      <alignment vertical="top"/>
    </xf>
    <xf numFmtId="164" fontId="3" fillId="6" borderId="32" xfId="2" applyNumberFormat="1" applyFont="1" applyFill="1" applyBorder="1" applyAlignment="1">
      <alignment vertical="top"/>
    </xf>
    <xf numFmtId="164" fontId="1" fillId="6" borderId="28" xfId="2" applyNumberFormat="1" applyFont="1" applyFill="1" applyBorder="1" applyAlignment="1">
      <alignment horizontal="center" vertical="top"/>
    </xf>
    <xf numFmtId="164" fontId="1" fillId="6" borderId="30" xfId="2" applyNumberFormat="1" applyFont="1" applyFill="1" applyBorder="1" applyAlignment="1">
      <alignment horizontal="center" vertical="top"/>
    </xf>
    <xf numFmtId="164" fontId="1" fillId="6" borderId="17" xfId="2" applyNumberFormat="1" applyFont="1" applyFill="1" applyBorder="1" applyAlignment="1">
      <alignment horizontal="center" vertical="top" wrapText="1"/>
    </xf>
    <xf numFmtId="0" fontId="0" fillId="6" borderId="27" xfId="0" applyFill="1" applyBorder="1" applyAlignment="1">
      <alignment vertical="top" wrapText="1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164" fontId="1" fillId="0" borderId="31" xfId="2" applyNumberFormat="1" applyFont="1" applyBorder="1" applyAlignment="1">
      <alignment vertical="top"/>
    </xf>
    <xf numFmtId="164" fontId="1" fillId="0" borderId="29" xfId="2" applyNumberFormat="1" applyFont="1" applyBorder="1" applyAlignment="1">
      <alignment vertical="top"/>
    </xf>
    <xf numFmtId="164" fontId="3" fillId="0" borderId="24" xfId="2" applyNumberFormat="1" applyFont="1" applyBorder="1" applyAlignment="1">
      <alignment vertical="top"/>
    </xf>
    <xf numFmtId="164" fontId="1" fillId="0" borderId="28" xfId="2" applyNumberFormat="1" applyFont="1" applyBorder="1" applyAlignment="1">
      <alignment horizontal="center" vertical="top"/>
    </xf>
    <xf numFmtId="164" fontId="1" fillId="0" borderId="30" xfId="2" applyNumberFormat="1" applyFont="1" applyBorder="1" applyAlignment="1">
      <alignment horizontal="center" vertical="top"/>
    </xf>
    <xf numFmtId="164" fontId="1" fillId="0" borderId="17" xfId="2" applyNumberFormat="1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164" fontId="3" fillId="0" borderId="32" xfId="2" applyNumberFormat="1" applyFont="1" applyBorder="1" applyAlignment="1">
      <alignment vertical="top"/>
    </xf>
    <xf numFmtId="0" fontId="0" fillId="4" borderId="33" xfId="0" applyFill="1" applyBorder="1" applyAlignment="1">
      <alignment vertical="top"/>
    </xf>
    <xf numFmtId="0" fontId="0" fillId="4" borderId="34" xfId="0" applyFill="1" applyBorder="1" applyAlignment="1">
      <alignment horizontal="center" vertical="top"/>
    </xf>
    <xf numFmtId="0" fontId="0" fillId="4" borderId="35" xfId="0" applyFill="1" applyBorder="1" applyAlignment="1">
      <alignment horizontal="center" vertical="top"/>
    </xf>
    <xf numFmtId="0" fontId="0" fillId="4" borderId="36" xfId="0" applyFill="1" applyBorder="1" applyAlignment="1">
      <alignment horizontal="center" vertical="top"/>
    </xf>
    <xf numFmtId="0" fontId="0" fillId="4" borderId="37" xfId="0" applyFill="1" applyBorder="1" applyAlignment="1">
      <alignment horizontal="center" vertical="top"/>
    </xf>
    <xf numFmtId="164" fontId="2" fillId="4" borderId="38" xfId="2" applyNumberFormat="1" applyFont="1" applyFill="1" applyBorder="1" applyAlignment="1">
      <alignment vertical="top"/>
    </xf>
    <xf numFmtId="164" fontId="1" fillId="4" borderId="34" xfId="2" applyNumberFormat="1" applyFont="1" applyFill="1" applyBorder="1" applyAlignment="1">
      <alignment horizontal="center" vertical="top"/>
    </xf>
    <xf numFmtId="164" fontId="1" fillId="4" borderId="37" xfId="2" applyNumberFormat="1" applyFont="1" applyFill="1" applyBorder="1" applyAlignment="1">
      <alignment horizontal="center" vertical="top"/>
    </xf>
    <xf numFmtId="164" fontId="1" fillId="4" borderId="36" xfId="2" applyNumberFormat="1" applyFont="1" applyFill="1" applyBorder="1" applyAlignment="1">
      <alignment horizontal="center" vertical="top" wrapText="1"/>
    </xf>
    <xf numFmtId="0" fontId="0" fillId="4" borderId="33" xfId="0" applyFill="1" applyBorder="1" applyAlignment="1">
      <alignment vertical="top" wrapText="1"/>
    </xf>
    <xf numFmtId="0" fontId="0" fillId="0" borderId="0" xfId="0" applyAlignment="1">
      <alignment horizontal="center"/>
    </xf>
    <xf numFmtId="164" fontId="1" fillId="0" borderId="0" xfId="2" applyNumberFormat="1" applyFont="1"/>
    <xf numFmtId="164" fontId="3" fillId="0" borderId="0" xfId="2" applyNumberFormat="1" applyFont="1"/>
    <xf numFmtId="164" fontId="1" fillId="0" borderId="0" xfId="2" applyNumberFormat="1" applyFont="1" applyAlignment="1">
      <alignment horizontal="center"/>
    </xf>
    <xf numFmtId="164" fontId="1" fillId="0" borderId="0" xfId="2" applyNumberFormat="1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 vertical="top" wrapText="1"/>
    </xf>
    <xf numFmtId="0" fontId="4" fillId="0" borderId="0" xfId="0" applyFont="1" applyBorder="1" applyProtection="1">
      <protection locked="0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4" fontId="3" fillId="5" borderId="39" xfId="2" applyNumberFormat="1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64" fontId="1" fillId="0" borderId="18" xfId="2" applyNumberFormat="1" applyFont="1" applyFill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0" fillId="0" borderId="16" xfId="0" applyNumberFormat="1" applyFill="1" applyBorder="1" applyAlignment="1">
      <alignment horizontal="center" vertical="top"/>
    </xf>
    <xf numFmtId="164" fontId="0" fillId="0" borderId="14" xfId="0" applyNumberFormat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164" fontId="1" fillId="0" borderId="15" xfId="2" applyNumberFormat="1" applyFont="1" applyBorder="1" applyAlignment="1">
      <alignment vertical="top"/>
    </xf>
    <xf numFmtId="164" fontId="0" fillId="0" borderId="21" xfId="0" applyNumberFormat="1" applyBorder="1" applyAlignment="1">
      <alignment horizontal="center" vertical="top"/>
    </xf>
    <xf numFmtId="164" fontId="0" fillId="0" borderId="25" xfId="0" applyNumberFormat="1" applyFill="1" applyBorder="1" applyAlignment="1">
      <alignment horizontal="center" vertical="top"/>
    </xf>
    <xf numFmtId="164" fontId="0" fillId="0" borderId="22" xfId="0" applyNumberFormat="1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  <xf numFmtId="164" fontId="0" fillId="0" borderId="25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6" borderId="21" xfId="0" applyFill="1" applyBorder="1" applyAlignment="1">
      <alignment horizontal="center" vertical="top"/>
    </xf>
    <xf numFmtId="0" fontId="0" fillId="6" borderId="15" xfId="0" applyFill="1" applyBorder="1" applyAlignment="1">
      <alignment horizontal="center" vertical="top"/>
    </xf>
    <xf numFmtId="0" fontId="0" fillId="6" borderId="22" xfId="0" applyFill="1" applyBorder="1" applyAlignment="1">
      <alignment horizontal="center" vertical="top"/>
    </xf>
    <xf numFmtId="0" fontId="0" fillId="6" borderId="25" xfId="0" applyFill="1" applyBorder="1" applyAlignment="1">
      <alignment horizontal="center" vertical="top"/>
    </xf>
    <xf numFmtId="164" fontId="1" fillId="6" borderId="23" xfId="2" applyNumberFormat="1" applyFont="1" applyFill="1" applyBorder="1" applyAlignment="1">
      <alignment vertical="top"/>
    </xf>
    <xf numFmtId="164" fontId="1" fillId="6" borderId="15" xfId="2" applyNumberFormat="1" applyFont="1" applyFill="1" applyBorder="1" applyAlignment="1">
      <alignment vertical="top"/>
    </xf>
    <xf numFmtId="164" fontId="3" fillId="6" borderId="24" xfId="2" applyNumberFormat="1" applyFont="1" applyFill="1" applyBorder="1" applyAlignment="1">
      <alignment vertical="top"/>
    </xf>
    <xf numFmtId="164" fontId="0" fillId="6" borderId="21" xfId="0" applyNumberFormat="1" applyFill="1" applyBorder="1" applyAlignment="1">
      <alignment horizontal="center" vertical="top"/>
    </xf>
    <xf numFmtId="164" fontId="0" fillId="6" borderId="25" xfId="0" applyNumberFormat="1" applyFill="1" applyBorder="1" applyAlignment="1">
      <alignment horizontal="center" vertical="top"/>
    </xf>
    <xf numFmtId="164" fontId="0" fillId="6" borderId="22" xfId="0" applyNumberFormat="1" applyFill="1" applyBorder="1" applyAlignment="1">
      <alignment horizontal="center" vertical="top" wrapText="1"/>
    </xf>
    <xf numFmtId="0" fontId="0" fillId="6" borderId="20" xfId="0" applyFill="1" applyBorder="1" applyAlignment="1">
      <alignment vertical="top" wrapText="1"/>
    </xf>
    <xf numFmtId="164" fontId="1" fillId="0" borderId="23" xfId="2" applyNumberFormat="1" applyFont="1" applyBorder="1" applyAlignment="1">
      <alignment vertical="top"/>
    </xf>
    <xf numFmtId="0" fontId="0" fillId="0" borderId="29" xfId="0" applyBorder="1" applyAlignment="1">
      <alignment horizontal="center" vertical="top"/>
    </xf>
    <xf numFmtId="164" fontId="0" fillId="0" borderId="28" xfId="0" applyNumberFormat="1" applyBorder="1" applyAlignment="1">
      <alignment horizontal="center" vertical="top"/>
    </xf>
    <xf numFmtId="164" fontId="0" fillId="0" borderId="17" xfId="0" applyNumberFormat="1" applyBorder="1" applyAlignment="1">
      <alignment horizontal="center" vertical="top" wrapText="1"/>
    </xf>
    <xf numFmtId="164" fontId="0" fillId="0" borderId="34" xfId="0" applyNumberFormat="1" applyBorder="1" applyAlignment="1">
      <alignment horizontal="center" vertical="top"/>
    </xf>
    <xf numFmtId="164" fontId="0" fillId="0" borderId="37" xfId="0" applyNumberFormat="1" applyBorder="1" applyAlignment="1">
      <alignment horizontal="center" vertical="top"/>
    </xf>
    <xf numFmtId="164" fontId="0" fillId="0" borderId="36" xfId="0" applyNumberFormat="1" applyBorder="1" applyAlignment="1">
      <alignment horizontal="center" vertical="top" wrapText="1"/>
    </xf>
    <xf numFmtId="0" fontId="0" fillId="4" borderId="7" xfId="0" applyFill="1" applyBorder="1" applyAlignment="1">
      <alignment vertical="top" wrapText="1"/>
    </xf>
    <xf numFmtId="0" fontId="0" fillId="4" borderId="4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164" fontId="2" fillId="4" borderId="7" xfId="2" applyNumberFormat="1" applyFont="1" applyFill="1" applyBorder="1" applyAlignment="1">
      <alignment horizontal="right" vertical="top" wrapText="1"/>
    </xf>
    <xf numFmtId="164" fontId="2" fillId="4" borderId="4" xfId="0" applyNumberFormat="1" applyFont="1" applyFill="1" applyBorder="1" applyAlignment="1">
      <alignment horizontal="center" vertical="top"/>
    </xf>
    <xf numFmtId="0" fontId="0" fillId="4" borderId="7" xfId="0" applyFill="1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vertical="top" wrapText="1"/>
    </xf>
    <xf numFmtId="0" fontId="5" fillId="0" borderId="0" xfId="0" applyFont="1" applyAlignment="1">
      <alignment horizontal="right"/>
    </xf>
    <xf numFmtId="165" fontId="7" fillId="0" borderId="0" xfId="1" applyNumberFormat="1" applyFont="1"/>
    <xf numFmtId="0" fontId="4" fillId="0" borderId="0" xfId="0" applyFont="1"/>
    <xf numFmtId="1" fontId="8" fillId="5" borderId="8" xfId="0" applyNumberFormat="1" applyFont="1" applyFill="1" applyBorder="1" applyAlignment="1">
      <alignment horizontal="center"/>
    </xf>
    <xf numFmtId="1" fontId="3" fillId="5" borderId="9" xfId="2" applyNumberFormat="1" applyFont="1" applyFill="1" applyBorder="1" applyAlignment="1">
      <alignment horizontal="center"/>
    </xf>
    <xf numFmtId="1" fontId="8" fillId="5" borderId="9" xfId="0" applyNumberFormat="1" applyFont="1" applyFill="1" applyBorder="1" applyAlignment="1">
      <alignment horizontal="center"/>
    </xf>
    <xf numFmtId="1" fontId="8" fillId="5" borderId="10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right"/>
    </xf>
    <xf numFmtId="164" fontId="9" fillId="4" borderId="0" xfId="2" applyNumberFormat="1" applyFont="1" applyFill="1"/>
    <xf numFmtId="166" fontId="9" fillId="4" borderId="0" xfId="1" applyNumberFormat="1" applyFont="1" applyFill="1"/>
    <xf numFmtId="166" fontId="9" fillId="4" borderId="0" xfId="0" applyNumberFormat="1" applyFont="1" applyFill="1"/>
    <xf numFmtId="164" fontId="8" fillId="0" borderId="0" xfId="0" applyNumberFormat="1" applyFont="1"/>
    <xf numFmtId="0" fontId="4" fillId="5" borderId="0" xfId="0" applyFont="1" applyFill="1" applyAlignment="1">
      <alignment horizontal="right"/>
    </xf>
    <xf numFmtId="167" fontId="1" fillId="5" borderId="0" xfId="2" applyNumberFormat="1" applyFont="1" applyFill="1" applyBorder="1" applyAlignment="1">
      <alignment horizontal="right"/>
    </xf>
    <xf numFmtId="167" fontId="1" fillId="5" borderId="0" xfId="1" applyNumberFormat="1" applyFont="1" applyFill="1" applyBorder="1" applyAlignment="1">
      <alignment horizontal="right"/>
    </xf>
    <xf numFmtId="167" fontId="1" fillId="5" borderId="0" xfId="0" applyNumberFormat="1" applyFont="1" applyFill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1" fillId="0" borderId="0" xfId="1" applyNumberFormat="1" applyFont="1"/>
    <xf numFmtId="9" fontId="3" fillId="0" borderId="0" xfId="3" applyFont="1"/>
    <xf numFmtId="0" fontId="8" fillId="0" borderId="0" xfId="0" applyFont="1"/>
    <xf numFmtId="0" fontId="8" fillId="0" borderId="0" xfId="0" applyFont="1" applyAlignment="1">
      <alignment horizontal="right"/>
    </xf>
    <xf numFmtId="165" fontId="1" fillId="5" borderId="0" xfId="1" applyNumberFormat="1" applyFont="1" applyFill="1"/>
    <xf numFmtId="43" fontId="10" fillId="0" borderId="0" xfId="0" applyNumberFormat="1" applyFont="1" applyAlignment="1">
      <alignment horizontal="right"/>
    </xf>
    <xf numFmtId="165" fontId="12" fillId="0" borderId="0" xfId="1" applyNumberFormat="1" applyFont="1"/>
    <xf numFmtId="165" fontId="13" fillId="0" borderId="0" xfId="1" applyNumberFormat="1" applyFont="1"/>
    <xf numFmtId="165" fontId="3" fillId="0" borderId="0" xfId="1" applyNumberFormat="1" applyFont="1"/>
    <xf numFmtId="0" fontId="1" fillId="0" borderId="0" xfId="0" applyFont="1"/>
    <xf numFmtId="44" fontId="9" fillId="4" borderId="0" xfId="2" applyNumberFormat="1" applyFont="1" applyFill="1"/>
    <xf numFmtId="44" fontId="9" fillId="4" borderId="0" xfId="2" applyNumberFormat="1" applyFont="1" applyFill="1" applyAlignment="1">
      <alignment horizontal="left"/>
    </xf>
    <xf numFmtId="44" fontId="9" fillId="4" borderId="0" xfId="2" applyFont="1" applyFill="1"/>
    <xf numFmtId="44" fontId="1" fillId="5" borderId="0" xfId="2" applyNumberFormat="1" applyFont="1" applyFill="1"/>
    <xf numFmtId="0" fontId="1" fillId="5" borderId="0" xfId="0" applyFont="1" applyFill="1"/>
    <xf numFmtId="0" fontId="8" fillId="5" borderId="0" xfId="0" applyFont="1" applyFill="1" applyAlignment="1">
      <alignment horizontal="right"/>
    </xf>
    <xf numFmtId="44" fontId="8" fillId="5" borderId="0" xfId="2" applyNumberFormat="1" applyFont="1" applyFill="1"/>
    <xf numFmtId="44" fontId="8" fillId="5" borderId="0" xfId="2" applyFont="1" applyFill="1"/>
    <xf numFmtId="0" fontId="4" fillId="0" borderId="0" xfId="0" applyFont="1" applyAlignment="1">
      <alignment horizontal="right"/>
    </xf>
    <xf numFmtId="165" fontId="4" fillId="0" borderId="0" xfId="1" applyNumberFormat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8" fillId="6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5" xfId="0" applyFont="1" applyBorder="1" applyAlignment="1">
      <alignment horizontal="center" vertical="top"/>
    </xf>
    <xf numFmtId="0" fontId="1" fillId="0" borderId="15" xfId="4" applyFont="1" applyFill="1" applyBorder="1" applyAlignment="1"/>
    <xf numFmtId="0" fontId="1" fillId="4" borderId="15" xfId="0" applyFont="1" applyFill="1" applyBorder="1"/>
    <xf numFmtId="165" fontId="3" fillId="6" borderId="15" xfId="1" applyNumberFormat="1" applyFont="1" applyFill="1" applyBorder="1" applyAlignment="1">
      <alignment vertical="top"/>
    </xf>
    <xf numFmtId="0" fontId="1" fillId="0" borderId="15" xfId="0" applyFont="1" applyBorder="1"/>
    <xf numFmtId="168" fontId="1" fillId="0" borderId="15" xfId="0" applyNumberFormat="1" applyFont="1" applyBorder="1"/>
    <xf numFmtId="44" fontId="1" fillId="0" borderId="15" xfId="2" applyFont="1" applyBorder="1"/>
    <xf numFmtId="1" fontId="1" fillId="0" borderId="15" xfId="2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1" fillId="0" borderId="15" xfId="2" applyNumberFormat="1" applyFont="1" applyBorder="1"/>
    <xf numFmtId="164" fontId="1" fillId="0" borderId="15" xfId="2" applyNumberFormat="1" applyFont="1" applyBorder="1"/>
    <xf numFmtId="164" fontId="3" fillId="0" borderId="15" xfId="0" applyNumberFormat="1" applyFont="1" applyBorder="1"/>
    <xf numFmtId="0" fontId="1" fillId="0" borderId="15" xfId="4" quotePrefix="1" applyFont="1" applyFill="1" applyBorder="1" applyAlignment="1"/>
    <xf numFmtId="168" fontId="1" fillId="0" borderId="15" xfId="1" applyNumberFormat="1" applyFont="1" applyBorder="1"/>
    <xf numFmtId="165" fontId="3" fillId="6" borderId="15" xfId="0" applyNumberFormat="1" applyFont="1" applyFill="1" applyBorder="1" applyAlignment="1">
      <alignment vertical="top"/>
    </xf>
    <xf numFmtId="165" fontId="1" fillId="0" borderId="0" xfId="1" applyNumberFormat="1" applyFont="1" applyAlignment="1">
      <alignment vertical="top"/>
    </xf>
    <xf numFmtId="0" fontId="1" fillId="0" borderId="0" xfId="0" applyFont="1" applyAlignment="1">
      <alignment vertical="top"/>
    </xf>
    <xf numFmtId="0" fontId="13" fillId="0" borderId="15" xfId="0" applyFont="1" applyBorder="1"/>
    <xf numFmtId="0" fontId="1" fillId="0" borderId="15" xfId="0" applyFont="1" applyBorder="1" applyAlignment="1">
      <alignment vertical="top"/>
    </xf>
    <xf numFmtId="164" fontId="13" fillId="0" borderId="15" xfId="0" applyNumberFormat="1" applyFont="1" applyBorder="1"/>
    <xf numFmtId="44" fontId="1" fillId="0" borderId="15" xfId="2" applyFont="1" applyFill="1" applyBorder="1"/>
    <xf numFmtId="0" fontId="1" fillId="0" borderId="15" xfId="0" applyFont="1" applyBorder="1" applyAlignment="1">
      <alignment vertical="top" wrapText="1"/>
    </xf>
    <xf numFmtId="9" fontId="2" fillId="4" borderId="15" xfId="0" applyNumberFormat="1" applyFont="1" applyFill="1" applyBorder="1" applyAlignment="1">
      <alignment vertical="top"/>
    </xf>
    <xf numFmtId="168" fontId="1" fillId="0" borderId="15" xfId="0" applyNumberFormat="1" applyFont="1" applyBorder="1" applyAlignment="1">
      <alignment vertical="top"/>
    </xf>
    <xf numFmtId="44" fontId="1" fillId="0" borderId="15" xfId="2" applyFont="1" applyBorder="1" applyAlignment="1">
      <alignment horizontal="left" vertical="top"/>
    </xf>
    <xf numFmtId="1" fontId="1" fillId="0" borderId="15" xfId="2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4" fontId="1" fillId="0" borderId="15" xfId="2" applyFont="1" applyBorder="1" applyAlignment="1">
      <alignment vertical="top"/>
    </xf>
    <xf numFmtId="44" fontId="1" fillId="0" borderId="15" xfId="2" applyNumberFormat="1" applyFont="1" applyBorder="1" applyAlignment="1">
      <alignment vertical="top"/>
    </xf>
    <xf numFmtId="164" fontId="3" fillId="0" borderId="15" xfId="0" applyNumberFormat="1" applyFont="1" applyBorder="1" applyAlignment="1">
      <alignment vertical="top"/>
    </xf>
    <xf numFmtId="0" fontId="1" fillId="0" borderId="15" xfId="0" applyFont="1" applyBorder="1" applyAlignment="1">
      <alignment horizontal="left" wrapText="1"/>
    </xf>
    <xf numFmtId="43" fontId="1" fillId="0" borderId="0" xfId="0" applyNumberFormat="1" applyFont="1"/>
    <xf numFmtId="0" fontId="1" fillId="0" borderId="15" xfId="0" applyFont="1" applyBorder="1" applyAlignment="1">
      <alignment horizontal="left"/>
    </xf>
    <xf numFmtId="0" fontId="3" fillId="0" borderId="15" xfId="0" applyFont="1" applyBorder="1" applyAlignment="1"/>
    <xf numFmtId="0" fontId="3" fillId="0" borderId="0" xfId="0" applyFont="1" applyAlignment="1">
      <alignment horizontal="center" vertical="top"/>
    </xf>
    <xf numFmtId="169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3" fillId="9" borderId="4" xfId="0" applyFont="1" applyFill="1" applyBorder="1" applyAlignment="1">
      <alignment horizontal="center" vertical="top"/>
    </xf>
    <xf numFmtId="0" fontId="3" fillId="9" borderId="6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vertical="center"/>
    </xf>
    <xf numFmtId="0" fontId="3" fillId="6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vertical="top"/>
    </xf>
    <xf numFmtId="0" fontId="1" fillId="0" borderId="15" xfId="0" applyFont="1" applyBorder="1" applyAlignment="1">
      <alignment horizontal="left" indent="1"/>
    </xf>
    <xf numFmtId="44" fontId="1" fillId="0" borderId="15" xfId="2" applyFont="1" applyBorder="1" applyAlignment="1">
      <alignment horizontal="right" vertical="top"/>
    </xf>
    <xf numFmtId="44" fontId="1" fillId="0" borderId="22" xfId="2" applyFont="1" applyBorder="1"/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0" fontId="1" fillId="0" borderId="34" xfId="0" applyNumberFormat="1" applyFont="1" applyBorder="1"/>
    <xf numFmtId="10" fontId="1" fillId="0" borderId="35" xfId="0" applyNumberFormat="1" applyFont="1" applyBorder="1"/>
    <xf numFmtId="10" fontId="1" fillId="0" borderId="36" xfId="0" applyNumberFormat="1" applyFont="1" applyBorder="1"/>
    <xf numFmtId="0" fontId="3" fillId="9" borderId="34" xfId="0" applyFont="1" applyFill="1" applyBorder="1" applyAlignment="1">
      <alignment vertical="top"/>
    </xf>
    <xf numFmtId="0" fontId="1" fillId="0" borderId="35" xfId="0" applyFont="1" applyBorder="1" applyAlignment="1">
      <alignment horizontal="left" indent="1"/>
    </xf>
    <xf numFmtId="0" fontId="1" fillId="4" borderId="35" xfId="0" applyFont="1" applyFill="1" applyBorder="1"/>
    <xf numFmtId="44" fontId="1" fillId="0" borderId="35" xfId="2" applyFont="1" applyBorder="1" applyAlignment="1">
      <alignment vertical="top"/>
    </xf>
    <xf numFmtId="44" fontId="1" fillId="0" borderId="36" xfId="2" applyFont="1" applyBorder="1"/>
    <xf numFmtId="0" fontId="0" fillId="0" borderId="15" xfId="0" applyFont="1" applyBorder="1"/>
    <xf numFmtId="0" fontId="1" fillId="0" borderId="0" xfId="0" applyFont="1" applyFill="1"/>
    <xf numFmtId="165" fontId="3" fillId="9" borderId="45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/>
    </xf>
    <xf numFmtId="0" fontId="2" fillId="10" borderId="46" xfId="0" applyFont="1" applyFill="1" applyBorder="1" applyAlignment="1">
      <alignment vertical="center"/>
    </xf>
    <xf numFmtId="0" fontId="2" fillId="10" borderId="20" xfId="0" applyFont="1" applyFill="1" applyBorder="1" applyAlignment="1">
      <alignment horizontal="center" vertical="center"/>
    </xf>
    <xf numFmtId="164" fontId="2" fillId="10" borderId="21" xfId="2" applyNumberFormat="1" applyFont="1" applyFill="1" applyBorder="1" applyAlignment="1">
      <alignment horizontal="center" vertical="center"/>
    </xf>
    <xf numFmtId="164" fontId="2" fillId="10" borderId="22" xfId="2" applyNumberFormat="1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top"/>
    </xf>
    <xf numFmtId="165" fontId="3" fillId="6" borderId="20" xfId="1" applyNumberFormat="1" applyFont="1" applyFill="1" applyBorder="1"/>
    <xf numFmtId="44" fontId="1" fillId="0" borderId="21" xfId="2" applyNumberFormat="1" applyFont="1" applyBorder="1"/>
    <xf numFmtId="44" fontId="1" fillId="0" borderId="22" xfId="2" applyNumberFormat="1" applyFont="1" applyBorder="1"/>
    <xf numFmtId="164" fontId="1" fillId="0" borderId="21" xfId="0" applyNumberFormat="1" applyFont="1" applyBorder="1"/>
    <xf numFmtId="164" fontId="1" fillId="0" borderId="22" xfId="0" applyNumberFormat="1" applyFont="1" applyBorder="1"/>
    <xf numFmtId="164" fontId="1" fillId="0" borderId="0" xfId="0" applyNumberFormat="1" applyFont="1" applyFill="1" applyBorder="1"/>
    <xf numFmtId="164" fontId="1" fillId="0" borderId="22" xfId="2" applyNumberFormat="1" applyFont="1" applyBorder="1"/>
    <xf numFmtId="164" fontId="1" fillId="0" borderId="0" xfId="2" applyNumberFormat="1" applyFont="1" applyFill="1" applyBorder="1"/>
    <xf numFmtId="0" fontId="1" fillId="0" borderId="24" xfId="0" applyFont="1" applyBorder="1"/>
    <xf numFmtId="0" fontId="1" fillId="0" borderId="24" xfId="0" applyFont="1" applyFill="1" applyBorder="1"/>
    <xf numFmtId="44" fontId="1" fillId="0" borderId="21" xfId="2" applyNumberFormat="1" applyFont="1" applyFill="1" applyBorder="1"/>
    <xf numFmtId="44" fontId="1" fillId="0" borderId="22" xfId="2" applyNumberFormat="1" applyFont="1" applyFill="1" applyBorder="1"/>
    <xf numFmtId="164" fontId="1" fillId="0" borderId="21" xfId="0" applyNumberFormat="1" applyFont="1" applyFill="1" applyBorder="1"/>
    <xf numFmtId="164" fontId="1" fillId="0" borderId="22" xfId="0" applyNumberFormat="1" applyFont="1" applyFill="1" applyBorder="1"/>
    <xf numFmtId="0" fontId="1" fillId="3" borderId="22" xfId="4" applyFont="1" applyFill="1" applyBorder="1" applyAlignment="1">
      <alignment wrapText="1"/>
    </xf>
    <xf numFmtId="44" fontId="1" fillId="3" borderId="21" xfId="2" applyNumberFormat="1" applyFont="1" applyFill="1" applyBorder="1"/>
    <xf numFmtId="44" fontId="1" fillId="3" borderId="22" xfId="2" applyNumberFormat="1" applyFont="1" applyFill="1" applyBorder="1"/>
    <xf numFmtId="164" fontId="1" fillId="3" borderId="21" xfId="0" applyNumberFormat="1" applyFont="1" applyFill="1" applyBorder="1"/>
    <xf numFmtId="164" fontId="1" fillId="3" borderId="22" xfId="0" applyNumberFormat="1" applyFont="1" applyFill="1" applyBorder="1"/>
    <xf numFmtId="0" fontId="1" fillId="0" borderId="22" xfId="4" applyFont="1" applyFill="1" applyBorder="1" applyAlignment="1">
      <alignment wrapText="1"/>
    </xf>
    <xf numFmtId="165" fontId="1" fillId="0" borderId="0" xfId="0" applyNumberFormat="1" applyFont="1"/>
    <xf numFmtId="3" fontId="3" fillId="6" borderId="20" xfId="0" applyNumberFormat="1" applyFont="1" applyFill="1" applyBorder="1" applyAlignment="1">
      <alignment horizontal="right"/>
    </xf>
    <xf numFmtId="164" fontId="1" fillId="0" borderId="21" xfId="2" applyNumberFormat="1" applyFont="1" applyBorder="1"/>
    <xf numFmtId="164" fontId="1" fillId="0" borderId="46" xfId="2" applyNumberFormat="1" applyFont="1" applyFill="1" applyBorder="1"/>
    <xf numFmtId="164" fontId="1" fillId="0" borderId="46" xfId="2" applyNumberFormat="1" applyFont="1" applyBorder="1"/>
    <xf numFmtId="0" fontId="2" fillId="4" borderId="34" xfId="0" applyFont="1" applyFill="1" applyBorder="1" applyAlignment="1">
      <alignment horizontal="center" vertical="top"/>
    </xf>
    <xf numFmtId="0" fontId="14" fillId="0" borderId="36" xfId="5" applyFont="1" applyFill="1" applyBorder="1" applyAlignment="1">
      <alignment horizontal="left" wrapText="1"/>
    </xf>
    <xf numFmtId="0" fontId="3" fillId="6" borderId="33" xfId="0" applyFont="1" applyFill="1" applyBorder="1"/>
    <xf numFmtId="164" fontId="1" fillId="0" borderId="34" xfId="2" applyNumberFormat="1" applyFont="1" applyBorder="1"/>
    <xf numFmtId="164" fontId="1" fillId="0" borderId="36" xfId="2" applyNumberFormat="1" applyFont="1" applyBorder="1"/>
    <xf numFmtId="1" fontId="2" fillId="4" borderId="0" xfId="2" applyNumberFormat="1" applyFont="1" applyFill="1" applyAlignment="1">
      <alignment horizontal="center"/>
    </xf>
    <xf numFmtId="1" fontId="2" fillId="4" borderId="47" xfId="2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 vertical="top"/>
    </xf>
    <xf numFmtId="0" fontId="3" fillId="6" borderId="0" xfId="0" applyFont="1" applyFill="1" applyAlignment="1">
      <alignment vertical="top" wrapText="1"/>
    </xf>
    <xf numFmtId="164" fontId="1" fillId="6" borderId="0" xfId="2" applyNumberFormat="1" applyFont="1" applyFill="1"/>
    <xf numFmtId="165" fontId="1" fillId="6" borderId="0" xfId="1" applyNumberFormat="1" applyFont="1" applyFill="1"/>
    <xf numFmtId="0" fontId="1" fillId="6" borderId="0" xfId="0" applyFont="1" applyFill="1"/>
    <xf numFmtId="0" fontId="3" fillId="6" borderId="4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164" fontId="3" fillId="2" borderId="0" xfId="2" applyNumberFormat="1" applyFont="1" applyFill="1"/>
    <xf numFmtId="164" fontId="3" fillId="2" borderId="47" xfId="2" applyNumberFormat="1" applyFont="1" applyFill="1" applyBorder="1"/>
    <xf numFmtId="0" fontId="1" fillId="0" borderId="0" xfId="0" applyFont="1" applyAlignment="1">
      <alignment horizontal="left" indent="1"/>
    </xf>
    <xf numFmtId="164" fontId="3" fillId="0" borderId="47" xfId="2" applyNumberFormat="1" applyFont="1" applyBorder="1"/>
    <xf numFmtId="164" fontId="1" fillId="0" borderId="0" xfId="2" applyNumberFormat="1" applyFont="1" applyFill="1"/>
    <xf numFmtId="164" fontId="1" fillId="0" borderId="0" xfId="0" applyNumberFormat="1" applyFont="1"/>
    <xf numFmtId="170" fontId="1" fillId="0" borderId="0" xfId="2" applyNumberFormat="1" applyFont="1"/>
    <xf numFmtId="44" fontId="1" fillId="0" borderId="0" xfId="2" applyFont="1"/>
    <xf numFmtId="164" fontId="1" fillId="0" borderId="0" xfId="1" applyNumberFormat="1" applyFont="1"/>
    <xf numFmtId="0" fontId="0" fillId="0" borderId="0" xfId="0" applyFont="1" applyAlignment="1">
      <alignment horizontal="left" indent="1"/>
    </xf>
    <xf numFmtId="164" fontId="4" fillId="0" borderId="0" xfId="0" applyNumberFormat="1" applyFont="1"/>
    <xf numFmtId="0" fontId="0" fillId="0" borderId="0" xfId="0" applyFont="1"/>
    <xf numFmtId="0" fontId="0" fillId="0" borderId="0" xfId="0" applyFont="1" applyFill="1" applyAlignment="1">
      <alignment horizontal="left" indent="1"/>
    </xf>
    <xf numFmtId="165" fontId="0" fillId="0" borderId="0" xfId="0" applyNumberFormat="1" applyFont="1"/>
    <xf numFmtId="0" fontId="1" fillId="6" borderId="48" xfId="0" applyFont="1" applyFill="1" applyBorder="1"/>
    <xf numFmtId="164" fontId="3" fillId="2" borderId="48" xfId="2" applyNumberFormat="1" applyFont="1" applyFill="1" applyBorder="1"/>
    <xf numFmtId="164" fontId="1" fillId="0" borderId="48" xfId="2" applyNumberFormat="1" applyFont="1" applyBorder="1"/>
    <xf numFmtId="164" fontId="1" fillId="0" borderId="48" xfId="2" applyNumberFormat="1" applyFont="1" applyFill="1" applyBorder="1"/>
    <xf numFmtId="0" fontId="2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9" borderId="43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164" fontId="3" fillId="9" borderId="40" xfId="2" applyNumberFormat="1" applyFont="1" applyFill="1" applyBorder="1" applyAlignment="1">
      <alignment horizontal="center" vertical="center"/>
    </xf>
    <xf numFmtId="164" fontId="3" fillId="9" borderId="42" xfId="2" applyNumberFormat="1" applyFont="1" applyFill="1" applyBorder="1" applyAlignment="1">
      <alignment horizontal="center" vertical="center"/>
    </xf>
    <xf numFmtId="165" fontId="3" fillId="9" borderId="40" xfId="1" applyNumberFormat="1" applyFont="1" applyFill="1" applyBorder="1" applyAlignment="1">
      <alignment horizontal="center" vertical="center" wrapText="1"/>
    </xf>
    <xf numFmtId="165" fontId="3" fillId="9" borderId="42" xfId="1" applyNumberFormat="1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/>
    </xf>
    <xf numFmtId="164" fontId="3" fillId="2" borderId="3" xfId="2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4" xfId="2" applyNumberFormat="1" applyFont="1" applyFill="1" applyBorder="1" applyAlignment="1">
      <alignment horizontal="center" vertical="center" wrapText="1"/>
    </xf>
    <xf numFmtId="164" fontId="3" fillId="3" borderId="5" xfId="2" applyNumberFormat="1" applyFont="1" applyFill="1" applyBorder="1" applyAlignment="1">
      <alignment horizontal="center" vertical="center" wrapText="1"/>
    </xf>
    <xf numFmtId="164" fontId="3" fillId="3" borderId="6" xfId="2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Normal" xfId="0" builtinId="0"/>
    <cellStyle name="Normal 4" xfId="5"/>
    <cellStyle name="Normal 5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1771650</xdr:colOff>
      <xdr:row>10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117824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05576\AppData\Local\Microsoft\Windows\Temporary%20Internet%20Files\Content.Outlook\2EI3154S\G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11"/>
      <sheetName val="2012"/>
    </sheetNames>
    <sheetDataSet>
      <sheetData sheetId="0">
        <row r="5">
          <cell r="A5" t="str">
            <v>Rem/Repl Gas Service 421</v>
          </cell>
          <cell r="C5" t="str">
            <v>I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47"/>
  <sheetViews>
    <sheetView tabSelected="1" view="pageLayout" topLeftCell="B30" zoomScaleNormal="75" workbookViewId="0">
      <selection sqref="A1:H1"/>
    </sheetView>
  </sheetViews>
  <sheetFormatPr defaultRowHeight="15" x14ac:dyDescent="0.25"/>
  <cols>
    <col min="1" max="1" width="3.140625" style="224" customWidth="1"/>
    <col min="2" max="2" width="77.28515625" style="170" customWidth="1"/>
    <col min="3" max="4" width="14.42578125" style="79" customWidth="1"/>
    <col min="5" max="5" width="14.42578125" style="161" customWidth="1"/>
    <col min="6" max="6" width="14.42578125" style="170" customWidth="1"/>
    <col min="7" max="7" width="15" style="170" customWidth="1"/>
    <col min="8" max="8" width="17.85546875" style="170" customWidth="1"/>
    <col min="9" max="9" width="69.7109375" style="170" customWidth="1"/>
    <col min="10" max="16384" width="9.140625" style="170"/>
  </cols>
  <sheetData>
    <row r="1" spans="1:9" ht="15.75" x14ac:dyDescent="0.25">
      <c r="A1" s="321" t="s">
        <v>198</v>
      </c>
      <c r="B1" s="321"/>
      <c r="C1" s="321"/>
      <c r="D1" s="321"/>
      <c r="E1" s="321"/>
      <c r="F1" s="321"/>
      <c r="G1" s="321"/>
      <c r="H1" s="321"/>
    </row>
    <row r="2" spans="1:9" ht="15.75" x14ac:dyDescent="0.25">
      <c r="A2" s="321" t="s">
        <v>174</v>
      </c>
      <c r="B2" s="321"/>
      <c r="C2" s="321"/>
      <c r="D2" s="321"/>
      <c r="E2" s="321"/>
      <c r="F2" s="321"/>
      <c r="G2" s="321"/>
      <c r="H2" s="321"/>
    </row>
    <row r="3" spans="1:9" ht="11.25" customHeight="1" thickBot="1" x14ac:dyDescent="0.3">
      <c r="H3" s="251"/>
    </row>
    <row r="4" spans="1:9" s="14" customFormat="1" ht="30" x14ac:dyDescent="0.25">
      <c r="A4" s="322" t="s">
        <v>175</v>
      </c>
      <c r="B4" s="323"/>
      <c r="C4" s="252" t="s">
        <v>176</v>
      </c>
      <c r="D4" s="324" t="s">
        <v>177</v>
      </c>
      <c r="E4" s="325"/>
      <c r="F4" s="326" t="s">
        <v>178</v>
      </c>
      <c r="G4" s="327"/>
      <c r="H4" s="253"/>
    </row>
    <row r="5" spans="1:9" s="14" customFormat="1" x14ac:dyDescent="0.25">
      <c r="A5" s="254"/>
      <c r="B5" s="255"/>
      <c r="C5" s="256"/>
      <c r="D5" s="257" t="s">
        <v>139</v>
      </c>
      <c r="E5" s="258" t="s">
        <v>140</v>
      </c>
      <c r="F5" s="259" t="s">
        <v>41</v>
      </c>
      <c r="G5" s="260" t="s">
        <v>179</v>
      </c>
      <c r="H5" s="261"/>
    </row>
    <row r="6" spans="1:9" x14ac:dyDescent="0.25">
      <c r="A6" s="262">
        <v>1</v>
      </c>
      <c r="B6" s="193" t="s">
        <v>142</v>
      </c>
      <c r="C6" s="263">
        <v>1500</v>
      </c>
      <c r="D6" s="264">
        <f>+'Task Costs'!M7</f>
        <v>70.128</v>
      </c>
      <c r="E6" s="265">
        <f>+'Task Costs'!N7</f>
        <v>5</v>
      </c>
      <c r="F6" s="266">
        <f>+'Task Costs'!Q7</f>
        <v>115437</v>
      </c>
      <c r="G6" s="267">
        <v>0</v>
      </c>
      <c r="H6" s="268"/>
      <c r="I6" s="170" t="s">
        <v>180</v>
      </c>
    </row>
    <row r="7" spans="1:9" x14ac:dyDescent="0.25">
      <c r="A7" s="262">
        <v>2</v>
      </c>
      <c r="B7" s="193" t="s">
        <v>144</v>
      </c>
      <c r="C7" s="263">
        <v>35000</v>
      </c>
      <c r="D7" s="264">
        <f>+'Task Costs'!M8</f>
        <v>32.141999999999996</v>
      </c>
      <c r="E7" s="265">
        <f>+'Task Costs'!N8</f>
        <v>2</v>
      </c>
      <c r="F7" s="266">
        <f>+'Task Costs'!Q8</f>
        <v>1259019.9999999998</v>
      </c>
      <c r="G7" s="269">
        <v>0</v>
      </c>
      <c r="H7" s="270"/>
      <c r="I7" s="170" t="s">
        <v>180</v>
      </c>
    </row>
    <row r="8" spans="1:9" x14ac:dyDescent="0.25">
      <c r="A8" s="262">
        <v>3</v>
      </c>
      <c r="B8" s="193" t="s">
        <v>97</v>
      </c>
      <c r="C8" s="263">
        <v>723</v>
      </c>
      <c r="D8" s="264">
        <f>+'Task Costs'!M9</f>
        <v>64.284000000000006</v>
      </c>
      <c r="E8" s="265">
        <f>+'Task Costs'!N9</f>
        <v>0</v>
      </c>
      <c r="F8" s="266">
        <f>+'Task Costs'!Q9</f>
        <v>47800.422000000006</v>
      </c>
      <c r="G8" s="269">
        <v>0</v>
      </c>
      <c r="H8" s="270"/>
      <c r="I8" s="170" t="s">
        <v>180</v>
      </c>
    </row>
    <row r="9" spans="1:9" x14ac:dyDescent="0.25">
      <c r="A9" s="262">
        <v>4</v>
      </c>
      <c r="B9" s="193" t="s">
        <v>145</v>
      </c>
      <c r="C9" s="263">
        <v>424</v>
      </c>
      <c r="D9" s="264">
        <f>+'Task Costs'!M10</f>
        <v>198.69600000000003</v>
      </c>
      <c r="E9" s="265">
        <f>+'Task Costs'!N10</f>
        <v>5</v>
      </c>
      <c r="F9" s="266">
        <f>+'Task Costs'!Q10</f>
        <v>87143.024000000005</v>
      </c>
      <c r="G9" s="269">
        <v>0</v>
      </c>
      <c r="H9" s="270"/>
      <c r="I9" s="170" t="s">
        <v>180</v>
      </c>
    </row>
    <row r="10" spans="1:9" x14ac:dyDescent="0.25">
      <c r="A10" s="262">
        <v>5</v>
      </c>
      <c r="B10" s="193" t="s">
        <v>146</v>
      </c>
      <c r="C10" s="263">
        <v>504</v>
      </c>
      <c r="D10" s="264">
        <f>+'Task Costs'!M11</f>
        <v>157.78800000000001</v>
      </c>
      <c r="E10" s="265">
        <f>+'Task Costs'!N11</f>
        <v>5</v>
      </c>
      <c r="F10" s="266">
        <f>+'Task Costs'!Q11</f>
        <v>82967.472000000009</v>
      </c>
      <c r="G10" s="269">
        <v>0</v>
      </c>
      <c r="H10" s="270"/>
      <c r="I10" s="170" t="s">
        <v>180</v>
      </c>
    </row>
    <row r="11" spans="1:9" x14ac:dyDescent="0.25">
      <c r="A11" s="262">
        <v>6</v>
      </c>
      <c r="B11" s="193" t="s">
        <v>147</v>
      </c>
      <c r="C11" s="263">
        <v>1308</v>
      </c>
      <c r="D11" s="264">
        <f>+'Task Costs'!M12</f>
        <v>210.38399999999999</v>
      </c>
      <c r="E11" s="265">
        <f>+'Task Costs'!N12</f>
        <v>5</v>
      </c>
      <c r="F11" s="266">
        <f>+'Task Costs'!Q12</f>
        <v>284115.91200000001</v>
      </c>
      <c r="G11" s="267">
        <v>0</v>
      </c>
      <c r="H11" s="268"/>
      <c r="I11" s="170" t="s">
        <v>180</v>
      </c>
    </row>
    <row r="12" spans="1:9" x14ac:dyDescent="0.25">
      <c r="A12" s="262">
        <v>7</v>
      </c>
      <c r="B12" s="193" t="s">
        <v>148</v>
      </c>
      <c r="C12" s="263">
        <v>62</v>
      </c>
      <c r="D12" s="264">
        <f>+'Task Costs'!M13</f>
        <v>70.128</v>
      </c>
      <c r="E12" s="265">
        <f>+'Task Costs'!N13</f>
        <v>5</v>
      </c>
      <c r="F12" s="266">
        <f>+'Task Costs'!Q13</f>
        <v>4771.3959999999997</v>
      </c>
      <c r="G12" s="267">
        <v>0</v>
      </c>
      <c r="H12" s="268"/>
      <c r="I12" s="170" t="s">
        <v>180</v>
      </c>
    </row>
    <row r="13" spans="1:9" x14ac:dyDescent="0.25">
      <c r="A13" s="262">
        <v>8</v>
      </c>
      <c r="B13" s="193" t="s">
        <v>149</v>
      </c>
      <c r="C13" s="263">
        <v>562</v>
      </c>
      <c r="D13" s="264">
        <f>+'Task Costs'!M14</f>
        <v>385.70400000000001</v>
      </c>
      <c r="E13" s="265">
        <f>+'Task Costs'!N14</f>
        <v>5</v>
      </c>
      <c r="F13" s="266">
        <f>+'Task Costs'!Q14</f>
        <v>220604.10800000001</v>
      </c>
      <c r="G13" s="267">
        <v>0</v>
      </c>
      <c r="H13" s="268"/>
      <c r="I13" s="170" t="s">
        <v>180</v>
      </c>
    </row>
    <row r="14" spans="1:9" x14ac:dyDescent="0.25">
      <c r="A14" s="262">
        <v>9</v>
      </c>
      <c r="B14" s="193" t="s">
        <v>150</v>
      </c>
      <c r="C14" s="263">
        <v>-1176</v>
      </c>
      <c r="D14" s="264">
        <f>+'Task Costs'!M15</f>
        <v>151.94399999999999</v>
      </c>
      <c r="E14" s="265">
        <f>+'Task Costs'!N15</f>
        <v>5</v>
      </c>
      <c r="F14" s="266">
        <f>+'Task Costs'!Q15</f>
        <v>-186718.22399999999</v>
      </c>
      <c r="G14" s="267">
        <v>0</v>
      </c>
      <c r="H14" s="268"/>
      <c r="I14" s="170" t="s">
        <v>181</v>
      </c>
    </row>
    <row r="15" spans="1:9" x14ac:dyDescent="0.25">
      <c r="A15" s="262">
        <v>10</v>
      </c>
      <c r="B15" s="193" t="s">
        <v>42</v>
      </c>
      <c r="C15" s="263">
        <v>-1975</v>
      </c>
      <c r="D15" s="264">
        <f>+'Task Costs'!M16</f>
        <v>79.236599999999981</v>
      </c>
      <c r="E15" s="265">
        <f>+'Task Costs'!N16</f>
        <v>10</v>
      </c>
      <c r="F15" s="266">
        <f>+'Task Costs'!Q16</f>
        <v>-354595.82043099991</v>
      </c>
      <c r="G15" s="267">
        <v>0</v>
      </c>
      <c r="H15" s="268"/>
      <c r="I15" s="170" t="s">
        <v>181</v>
      </c>
    </row>
    <row r="16" spans="1:9" x14ac:dyDescent="0.25">
      <c r="A16" s="262">
        <v>11</v>
      </c>
      <c r="B16" s="193" t="s">
        <v>151</v>
      </c>
      <c r="C16" s="263">
        <v>-2465</v>
      </c>
      <c r="D16" s="264">
        <f>+'Task Costs'!M17</f>
        <v>33.015249999999995</v>
      </c>
      <c r="E16" s="265">
        <f>+'Task Costs'!N17</f>
        <v>0</v>
      </c>
      <c r="F16" s="266">
        <f>+'Task Costs'!Q17</f>
        <v>-176765.34263974999</v>
      </c>
      <c r="G16" s="267">
        <v>0</v>
      </c>
      <c r="H16" s="268"/>
      <c r="I16" s="170" t="s">
        <v>181</v>
      </c>
    </row>
    <row r="17" spans="1:9" x14ac:dyDescent="0.25">
      <c r="A17" s="262">
        <v>12</v>
      </c>
      <c r="B17" s="271" t="s">
        <v>152</v>
      </c>
      <c r="C17" s="263">
        <v>-512</v>
      </c>
      <c r="D17" s="264">
        <f>+'Task Costs'!M18</f>
        <v>32.4</v>
      </c>
      <c r="E17" s="265">
        <f>+'Task Costs'!N18</f>
        <v>0</v>
      </c>
      <c r="F17" s="266">
        <f>+'Task Costs'!Q18</f>
        <v>-36048.814079999996</v>
      </c>
      <c r="G17" s="267">
        <v>0</v>
      </c>
      <c r="H17" s="268"/>
      <c r="I17" s="170" t="s">
        <v>182</v>
      </c>
    </row>
    <row r="18" spans="1:9" x14ac:dyDescent="0.25">
      <c r="A18" s="262">
        <v>13</v>
      </c>
      <c r="B18" s="272" t="s">
        <v>183</v>
      </c>
      <c r="C18" s="263">
        <v>-340</v>
      </c>
      <c r="D18" s="273"/>
      <c r="E18" s="274"/>
      <c r="F18" s="275">
        <f>+OPEX!L23</f>
        <v>-53583</v>
      </c>
      <c r="G18" s="276"/>
      <c r="H18" s="268"/>
      <c r="I18" s="251" t="s">
        <v>182</v>
      </c>
    </row>
    <row r="19" spans="1:9" x14ac:dyDescent="0.25">
      <c r="A19" s="262">
        <v>14</v>
      </c>
      <c r="B19" s="272" t="s">
        <v>184</v>
      </c>
      <c r="C19" s="263">
        <v>-300000</v>
      </c>
      <c r="D19" s="273"/>
      <c r="E19" s="274"/>
      <c r="F19" s="275">
        <f>+OPEX!M24</f>
        <v>-142309</v>
      </c>
      <c r="G19" s="276"/>
      <c r="H19" s="268"/>
      <c r="I19" s="251" t="s">
        <v>185</v>
      </c>
    </row>
    <row r="20" spans="1:9" x14ac:dyDescent="0.25">
      <c r="A20" s="262"/>
      <c r="B20" s="277"/>
      <c r="C20" s="263"/>
      <c r="D20" s="278"/>
      <c r="E20" s="279"/>
      <c r="F20" s="280"/>
      <c r="G20" s="281"/>
      <c r="H20" s="268"/>
    </row>
    <row r="21" spans="1:9" x14ac:dyDescent="0.25">
      <c r="A21" s="262">
        <v>15</v>
      </c>
      <c r="B21" s="282" t="s">
        <v>155</v>
      </c>
      <c r="C21" s="263">
        <v>94806</v>
      </c>
      <c r="D21" s="264">
        <f>+'Task Costs'!M20</f>
        <v>7.4820000000000011</v>
      </c>
      <c r="E21" s="265">
        <f>+'Task Costs'!N20</f>
        <v>0</v>
      </c>
      <c r="F21" s="266">
        <f>+'Task Costs'!Q20</f>
        <v>903458.98200000008</v>
      </c>
      <c r="G21" s="267">
        <v>0</v>
      </c>
      <c r="H21" s="268"/>
      <c r="I21" s="315" t="s">
        <v>204</v>
      </c>
    </row>
    <row r="22" spans="1:9" ht="30" x14ac:dyDescent="0.25">
      <c r="A22" s="262">
        <v>16</v>
      </c>
      <c r="B22" s="282" t="s">
        <v>213</v>
      </c>
      <c r="C22" s="263">
        <v>9065</v>
      </c>
      <c r="D22" s="264">
        <f>+'Task Costs'!M21</f>
        <v>228.91127995200003</v>
      </c>
      <c r="E22" s="265">
        <f>+'Task Costs'!N21</f>
        <v>0</v>
      </c>
      <c r="F22" s="266">
        <f>+'Task Costs'!Q21</f>
        <v>2091669.7027648801</v>
      </c>
      <c r="G22" s="267">
        <v>0</v>
      </c>
      <c r="H22" s="268"/>
      <c r="I22" s="283" t="s">
        <v>186</v>
      </c>
    </row>
    <row r="23" spans="1:9" x14ac:dyDescent="0.25">
      <c r="A23" s="262"/>
      <c r="B23" s="277"/>
      <c r="C23" s="263"/>
      <c r="D23" s="278"/>
      <c r="E23" s="279"/>
      <c r="F23" s="280"/>
      <c r="G23" s="281"/>
      <c r="H23" s="268"/>
    </row>
    <row r="24" spans="1:9" x14ac:dyDescent="0.25">
      <c r="A24" s="262">
        <v>17</v>
      </c>
      <c r="B24" s="220" t="s">
        <v>29</v>
      </c>
      <c r="C24" s="284">
        <v>50</v>
      </c>
      <c r="D24" s="264">
        <f>+'Task Costs'!M23</f>
        <v>2700.6474499999999</v>
      </c>
      <c r="E24" s="265">
        <f>+'Task Costs'!N23</f>
        <v>110</v>
      </c>
      <c r="F24" s="285">
        <v>0</v>
      </c>
      <c r="G24" s="286">
        <f>+'Task Costs'!Q23</f>
        <v>313605.13448849996</v>
      </c>
      <c r="H24" s="270"/>
      <c r="I24" s="170" t="s">
        <v>187</v>
      </c>
    </row>
    <row r="25" spans="1:9" x14ac:dyDescent="0.25">
      <c r="A25" s="262">
        <v>18</v>
      </c>
      <c r="B25" s="220" t="s">
        <v>32</v>
      </c>
      <c r="C25" s="284">
        <v>3</v>
      </c>
      <c r="D25" s="264">
        <f>+'Task Costs'!M24</f>
        <v>31872.92234999999</v>
      </c>
      <c r="E25" s="265">
        <f>+'Task Costs'!N24</f>
        <v>236</v>
      </c>
      <c r="F25" s="285">
        <v>0</v>
      </c>
      <c r="G25" s="286">
        <f>+'Task Costs'!Q24</f>
        <v>218319.8015319299</v>
      </c>
      <c r="H25" s="270"/>
      <c r="I25" s="170" t="s">
        <v>187</v>
      </c>
    </row>
    <row r="26" spans="1:9" x14ac:dyDescent="0.25">
      <c r="A26" s="262">
        <v>19</v>
      </c>
      <c r="B26" s="220" t="s">
        <v>33</v>
      </c>
      <c r="C26" s="284">
        <v>560</v>
      </c>
      <c r="D26" s="264">
        <f>+'Task Costs'!M25</f>
        <v>174.98082499999995</v>
      </c>
      <c r="E26" s="265">
        <f>+'Task Costs'!N25</f>
        <v>110</v>
      </c>
      <c r="F26" s="285">
        <v>0</v>
      </c>
      <c r="G26" s="286">
        <f>+'Task Costs'!Q25</f>
        <v>295243.97534519993</v>
      </c>
      <c r="H26" s="270"/>
      <c r="I26" s="170" t="s">
        <v>187</v>
      </c>
    </row>
    <row r="27" spans="1:9" x14ac:dyDescent="0.25">
      <c r="A27" s="262">
        <v>20</v>
      </c>
      <c r="B27" s="220" t="s">
        <v>159</v>
      </c>
      <c r="C27" s="284">
        <v>2000</v>
      </c>
      <c r="D27" s="264">
        <f>+'Task Costs'!M26</f>
        <v>455.83200000000005</v>
      </c>
      <c r="E27" s="265">
        <f>+'Task Costs'!N26</f>
        <v>150</v>
      </c>
      <c r="F27" s="285">
        <v>0</v>
      </c>
      <c r="G27" s="286">
        <f>+'Task Costs'!Q26</f>
        <v>1406766.912</v>
      </c>
      <c r="H27" s="270"/>
      <c r="I27" s="170" t="s">
        <v>187</v>
      </c>
    </row>
    <row r="28" spans="1:9" x14ac:dyDescent="0.25">
      <c r="A28" s="262">
        <v>21</v>
      </c>
      <c r="B28" s="222" t="s">
        <v>163</v>
      </c>
      <c r="C28" s="284">
        <v>2000</v>
      </c>
      <c r="D28" s="264">
        <f>'Task Costs'!M30</f>
        <v>689.59199999999998</v>
      </c>
      <c r="E28" s="265">
        <f>+'Task Costs'!N30</f>
        <v>68</v>
      </c>
      <c r="F28" s="285">
        <v>0</v>
      </c>
      <c r="G28" s="286">
        <f>+'Task Costs'!Q30</f>
        <v>1758243.0719999999</v>
      </c>
      <c r="H28" s="270"/>
      <c r="I28" s="170" t="s">
        <v>187</v>
      </c>
    </row>
    <row r="29" spans="1:9" x14ac:dyDescent="0.25">
      <c r="A29" s="262">
        <v>22</v>
      </c>
      <c r="B29" s="220" t="s">
        <v>161</v>
      </c>
      <c r="C29" s="284">
        <v>2400</v>
      </c>
      <c r="D29" s="264">
        <f>+'Task Costs'!M28</f>
        <v>689.59199999999998</v>
      </c>
      <c r="E29" s="265">
        <f>+'Task Costs'!N28</f>
        <v>175</v>
      </c>
      <c r="F29" s="285">
        <v>0</v>
      </c>
      <c r="G29" s="286">
        <f>+'Task Costs'!Q28</f>
        <v>2407266.0863999999</v>
      </c>
      <c r="H29" s="270"/>
      <c r="I29" s="170" t="s">
        <v>187</v>
      </c>
    </row>
    <row r="30" spans="1:9" x14ac:dyDescent="0.25">
      <c r="A30" s="262"/>
      <c r="B30" s="277"/>
      <c r="C30" s="284"/>
      <c r="D30" s="278"/>
      <c r="E30" s="279"/>
      <c r="F30" s="280"/>
      <c r="G30" s="281"/>
      <c r="H30" s="268"/>
    </row>
    <row r="31" spans="1:9" x14ac:dyDescent="0.25">
      <c r="A31" s="262">
        <v>25</v>
      </c>
      <c r="B31" s="250" t="s">
        <v>108</v>
      </c>
      <c r="C31" s="284">
        <v>213303</v>
      </c>
      <c r="D31" s="264">
        <f>+'Task Costs'!M32</f>
        <v>368.17200000000003</v>
      </c>
      <c r="E31" s="265">
        <f>+'Task Costs'!N32</f>
        <v>107.944733</v>
      </c>
      <c r="F31" s="285">
        <v>0</v>
      </c>
      <c r="G31" s="287">
        <f>+'Task Costs'!Q32</f>
        <v>117993498.13395663</v>
      </c>
      <c r="H31" s="270"/>
      <c r="I31" s="313" t="s">
        <v>200</v>
      </c>
    </row>
    <row r="32" spans="1:9" ht="15.75" thickBot="1" x14ac:dyDescent="0.3">
      <c r="A32" s="288"/>
      <c r="B32" s="289"/>
      <c r="C32" s="290"/>
      <c r="D32" s="291"/>
      <c r="E32" s="292"/>
      <c r="F32" s="291"/>
      <c r="G32" s="292"/>
      <c r="H32" s="270"/>
    </row>
    <row r="34" spans="1:9" x14ac:dyDescent="0.25">
      <c r="A34" s="320" t="s">
        <v>188</v>
      </c>
      <c r="B34" s="320"/>
      <c r="C34" s="293">
        <v>2013</v>
      </c>
      <c r="D34" s="293">
        <v>2014</v>
      </c>
      <c r="E34" s="293">
        <v>2015</v>
      </c>
      <c r="F34" s="293">
        <v>2016</v>
      </c>
      <c r="G34" s="293">
        <v>2017</v>
      </c>
      <c r="H34" s="294"/>
    </row>
    <row r="35" spans="1:9" ht="35.25" customHeight="1" x14ac:dyDescent="0.25">
      <c r="A35" s="295">
        <v>1</v>
      </c>
      <c r="B35" s="296" t="s">
        <v>203</v>
      </c>
      <c r="C35" s="297"/>
      <c r="D35" s="297"/>
      <c r="E35" s="298"/>
      <c r="F35" s="299"/>
      <c r="G35" s="316"/>
      <c r="H35" s="300" t="s">
        <v>189</v>
      </c>
    </row>
    <row r="36" spans="1:9" x14ac:dyDescent="0.25">
      <c r="B36" s="301" t="s">
        <v>190</v>
      </c>
      <c r="C36" s="302">
        <f>SUM(C37:C39)</f>
        <v>4147054.9228824498</v>
      </c>
      <c r="D36" s="302">
        <f>SUM(D37:D39)</f>
        <v>2156436.9299696335</v>
      </c>
      <c r="E36" s="302">
        <f>SUM(E37:E39)</f>
        <v>1881750.8287344819</v>
      </c>
      <c r="F36" s="302">
        <f>SUM(F37:F39)</f>
        <v>1595026.7486913616</v>
      </c>
      <c r="G36" s="317">
        <f>SUM(G37:G39)</f>
        <v>1296405.0917245913</v>
      </c>
      <c r="H36" s="303">
        <f>SUM(C36:G36)</f>
        <v>11076674.522002518</v>
      </c>
      <c r="I36" s="170" t="s">
        <v>191</v>
      </c>
    </row>
    <row r="37" spans="1:9" x14ac:dyDescent="0.25">
      <c r="B37" s="304" t="s">
        <v>192</v>
      </c>
      <c r="C37" s="79">
        <f>+F6+F7+F8+F9+F10+F11+F12+F13+F14+F15+F16+F19+F17+F18</f>
        <v>1151839.13284925</v>
      </c>
      <c r="D37" s="79">
        <f>+(C37)*1.03</f>
        <v>1186394.3068347275</v>
      </c>
      <c r="E37" s="79">
        <f>+D37*1.03</f>
        <v>1221986.1360397693</v>
      </c>
      <c r="F37" s="79">
        <f>+E37*1.03</f>
        <v>1258645.7201209625</v>
      </c>
      <c r="G37" s="318">
        <f>+F37*1.03</f>
        <v>1296405.0917245913</v>
      </c>
      <c r="H37" s="305">
        <f>SUM(C37:G37)</f>
        <v>6115270.3875693008</v>
      </c>
      <c r="I37" s="313" t="s">
        <v>193</v>
      </c>
    </row>
    <row r="38" spans="1:9" x14ac:dyDescent="0.25">
      <c r="B38" s="311" t="s">
        <v>201</v>
      </c>
      <c r="C38" s="79">
        <f>'Annual Riser Costs'!B16</f>
        <v>903458.98200000008</v>
      </c>
      <c r="D38" s="79">
        <f>'Annual Riser Costs'!C16</f>
        <v>663025.01763583289</v>
      </c>
      <c r="E38" s="79">
        <f>'Annual Riser Costs'!D16</f>
        <v>450949.76919233374</v>
      </c>
      <c r="F38" s="79">
        <f>'Annual Riser Costs'!E16</f>
        <v>229916.73982271136</v>
      </c>
      <c r="G38" s="318">
        <f>'Annual Riser Costs'!F16</f>
        <v>0</v>
      </c>
      <c r="H38" s="305">
        <f t="shared" ref="H38:H39" si="0">SUM(C38:G38)</f>
        <v>2247350.508650878</v>
      </c>
      <c r="I38" s="170" t="s">
        <v>194</v>
      </c>
    </row>
    <row r="39" spans="1:9" x14ac:dyDescent="0.25">
      <c r="B39" s="314" t="s">
        <v>196</v>
      </c>
      <c r="C39" s="306">
        <f>'Annual Riser Costs'!B13</f>
        <v>2091756.8080332</v>
      </c>
      <c r="D39" s="306">
        <f>'Annual Riser Costs'!C13</f>
        <v>307017.60549907287</v>
      </c>
      <c r="E39" s="306">
        <f>'Annual Riser Costs'!D13</f>
        <v>208814.92350237889</v>
      </c>
      <c r="F39" s="306">
        <f>'Annual Riser Costs'!E13</f>
        <v>106464.28874768788</v>
      </c>
      <c r="G39" s="319">
        <f>+'Annual Riser Costs'!F13</f>
        <v>0</v>
      </c>
      <c r="H39" s="305">
        <f t="shared" si="0"/>
        <v>2714053.6257823398</v>
      </c>
      <c r="I39" s="313" t="s">
        <v>199</v>
      </c>
    </row>
    <row r="40" spans="1:9" x14ac:dyDescent="0.25">
      <c r="B40" s="301" t="s">
        <v>158</v>
      </c>
      <c r="C40" s="302">
        <f>SUM(C41:C42)</f>
        <v>24098469.803796627</v>
      </c>
      <c r="D40" s="302">
        <f>SUM(D41:D42)</f>
        <v>31125964.031391487</v>
      </c>
      <c r="E40" s="302">
        <f>SUM(E41:E42)</f>
        <v>31782019.368567981</v>
      </c>
      <c r="F40" s="302">
        <f>SUM(F41:F42)</f>
        <v>32516319.690316752</v>
      </c>
      <c r="G40" s="317">
        <f>SUM(G41:G42)</f>
        <v>33228917.505276866</v>
      </c>
      <c r="H40" s="303">
        <f>SUM(C40:G40)</f>
        <v>152751690.39934972</v>
      </c>
    </row>
    <row r="41" spans="1:9" x14ac:dyDescent="0.25">
      <c r="B41" s="311" t="s">
        <v>197</v>
      </c>
      <c r="C41" s="79">
        <f>+G24+G25+G26+G27+G28+G29</f>
        <v>6399444.9817656297</v>
      </c>
      <c r="D41" s="79">
        <f>+C41*1.03</f>
        <v>6591428.3312185984</v>
      </c>
      <c r="E41" s="79">
        <f>+D41*1.03</f>
        <v>6789171.1811551563</v>
      </c>
      <c r="F41" s="79">
        <f>+E41*1.03</f>
        <v>6992846.3165898109</v>
      </c>
      <c r="G41" s="318">
        <f>+F41*1.03</f>
        <v>7202631.7060875054</v>
      </c>
      <c r="H41" s="305">
        <f>SUM(C41:G41)</f>
        <v>33975522.516816698</v>
      </c>
      <c r="I41" s="170" t="s">
        <v>195</v>
      </c>
    </row>
    <row r="42" spans="1:9" x14ac:dyDescent="0.25">
      <c r="B42" s="311" t="s">
        <v>202</v>
      </c>
      <c r="C42" s="79">
        <f>+'Annual Riser Costs'!B6</f>
        <v>17699024.822030999</v>
      </c>
      <c r="D42" s="79">
        <f>+'Annual Riser Costs'!C6</f>
        <v>24534535.700172886</v>
      </c>
      <c r="E42" s="79">
        <f>+'Annual Riser Costs'!D6</f>
        <v>24992848.187412824</v>
      </c>
      <c r="F42" s="79">
        <f>+'Annual Riser Costs'!E6</f>
        <v>25523473.373726942</v>
      </c>
      <c r="G42" s="318">
        <f>+'Annual Riser Costs'!F6</f>
        <v>26026285.799189363</v>
      </c>
      <c r="H42" s="305">
        <f>SUM(C42:G42)</f>
        <v>118776167.88253301</v>
      </c>
      <c r="I42" s="313" t="s">
        <v>205</v>
      </c>
    </row>
    <row r="44" spans="1:9" x14ac:dyDescent="0.25">
      <c r="F44" s="307"/>
      <c r="H44" s="307"/>
    </row>
    <row r="45" spans="1:9" x14ac:dyDescent="0.25">
      <c r="C45" s="308"/>
    </row>
    <row r="47" spans="1:9" x14ac:dyDescent="0.25">
      <c r="A47" s="170"/>
      <c r="C47" s="170"/>
      <c r="D47" s="309"/>
      <c r="E47" s="310"/>
      <c r="F47" s="307"/>
    </row>
  </sheetData>
  <mergeCells count="6">
    <mergeCell ref="A34:B34"/>
    <mergeCell ref="A1:H1"/>
    <mergeCell ref="A2:H2"/>
    <mergeCell ref="A4:B4"/>
    <mergeCell ref="D4:E4"/>
    <mergeCell ref="F4:G4"/>
  </mergeCells>
  <pageMargins left="0.7" right="0.7" top="0.75" bottom="0.75" header="0.3" footer="0.3"/>
  <pageSetup scale="71" orientation="landscape" r:id="rId1"/>
  <headerFooter>
    <oddFooter>&amp;R&amp;"Times New Roman,Bold"&amp;12Attachment to Response to LGE AG Question No. 355
Page &amp;P of 5
Thomas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3:H22"/>
  <sheetViews>
    <sheetView view="pageLayout" topLeftCell="B36" zoomScaleNormal="100" workbookViewId="0">
      <selection activeCell="I48" sqref="I48"/>
    </sheetView>
  </sheetViews>
  <sheetFormatPr defaultRowHeight="15.75" x14ac:dyDescent="0.25"/>
  <cols>
    <col min="1" max="1" width="56.42578125" style="146" customWidth="1"/>
    <col min="2" max="2" width="13.85546875" style="146" bestFit="1" customWidth="1"/>
    <col min="3" max="3" width="14" style="146" bestFit="1" customWidth="1"/>
    <col min="4" max="4" width="12.42578125" style="146" bestFit="1" customWidth="1"/>
    <col min="5" max="5" width="14.140625" style="146" customWidth="1"/>
    <col min="6" max="6" width="13.85546875" style="146" bestFit="1" customWidth="1"/>
    <col min="7" max="7" width="15.28515625" style="146" bestFit="1" customWidth="1"/>
    <col min="8" max="8" width="38.42578125" style="146" bestFit="1" customWidth="1"/>
    <col min="9" max="16384" width="9.140625" style="146"/>
  </cols>
  <sheetData>
    <row r="3" spans="1:8" ht="18.75" x14ac:dyDescent="0.3">
      <c r="A3" s="144" t="s">
        <v>109</v>
      </c>
      <c r="B3" s="145">
        <v>213303</v>
      </c>
    </row>
    <row r="4" spans="1:8" ht="16.5" thickBot="1" x14ac:dyDescent="0.3"/>
    <row r="5" spans="1:8" ht="16.5" thickBot="1" x14ac:dyDescent="0.3">
      <c r="B5" s="147">
        <v>2013</v>
      </c>
      <c r="C5" s="148">
        <v>2014</v>
      </c>
      <c r="D5" s="149">
        <v>2015</v>
      </c>
      <c r="E5" s="148">
        <v>2016</v>
      </c>
      <c r="F5" s="150">
        <v>2017</v>
      </c>
    </row>
    <row r="6" spans="1:8" x14ac:dyDescent="0.25">
      <c r="A6" s="151" t="s">
        <v>110</v>
      </c>
      <c r="B6" s="152">
        <f>+B8*B7</f>
        <v>17699024.822030999</v>
      </c>
      <c r="C6" s="152">
        <f>+C7*C8</f>
        <v>24534535.700172886</v>
      </c>
      <c r="D6" s="153">
        <f>+D7*D8</f>
        <v>24992848.187412824</v>
      </c>
      <c r="E6" s="154">
        <f>+E8*E7</f>
        <v>25523473.373726942</v>
      </c>
      <c r="F6" s="152">
        <f>+F7*F8</f>
        <v>26026285.799189363</v>
      </c>
      <c r="G6" s="155">
        <f>SUM(B6:F6)</f>
        <v>118776167.88253301</v>
      </c>
    </row>
    <row r="7" spans="1:8" x14ac:dyDescent="0.25">
      <c r="A7" s="156" t="s">
        <v>111</v>
      </c>
      <c r="B7" s="157">
        <v>553.17318</v>
      </c>
      <c r="C7" s="157">
        <f>+B7*1.03</f>
        <v>569.76837539999997</v>
      </c>
      <c r="D7" s="158">
        <f>+C7*1.03</f>
        <v>586.86142666199999</v>
      </c>
      <c r="E7" s="159">
        <f>+D7*1.03</f>
        <v>604.46726946186004</v>
      </c>
      <c r="F7" s="159">
        <f>+E7*1.03</f>
        <v>622.60128754571588</v>
      </c>
    </row>
    <row r="8" spans="1:8" x14ac:dyDescent="0.25">
      <c r="A8" s="160" t="s">
        <v>112</v>
      </c>
      <c r="B8" s="161">
        <f>+B3*G8</f>
        <v>31995.449999999997</v>
      </c>
      <c r="C8" s="161">
        <f>+B11*0.25</f>
        <v>43060.543124999997</v>
      </c>
      <c r="D8" s="161">
        <f>+C11*0.333</f>
        <v>42587.307756056245</v>
      </c>
      <c r="E8" s="161">
        <f>+D11*0.5</f>
        <v>42224.740135970904</v>
      </c>
      <c r="F8" s="161">
        <f>+E11</f>
        <v>41802.492734611194</v>
      </c>
      <c r="G8" s="162">
        <v>0.15</v>
      </c>
      <c r="H8" s="163" t="s">
        <v>113</v>
      </c>
    </row>
    <row r="9" spans="1:8" x14ac:dyDescent="0.25">
      <c r="A9" s="164" t="s">
        <v>114</v>
      </c>
      <c r="B9" s="165">
        <f>+B3-B8</f>
        <v>181307.55</v>
      </c>
      <c r="C9" s="165">
        <f>+B11-C8</f>
        <v>129181.62937499999</v>
      </c>
      <c r="D9" s="165">
        <f>+C11-D8</f>
        <v>85302.50532519375</v>
      </c>
      <c r="E9" s="165">
        <f>+D11-E8</f>
        <v>42224.740135970904</v>
      </c>
      <c r="F9" s="165">
        <f>+E11-F8</f>
        <v>0</v>
      </c>
    </row>
    <row r="10" spans="1:8" x14ac:dyDescent="0.25">
      <c r="A10" s="166" t="s">
        <v>115</v>
      </c>
      <c r="B10" s="167">
        <f>+B9*0.05</f>
        <v>9065.3775000000005</v>
      </c>
      <c r="C10" s="167">
        <f>+C9*0.01</f>
        <v>1291.8162937499999</v>
      </c>
      <c r="D10" s="167">
        <f>+D9*0.01</f>
        <v>853.02505325193749</v>
      </c>
      <c r="E10" s="167">
        <f>+E9*0.01</f>
        <v>422.24740135970904</v>
      </c>
      <c r="F10" s="161">
        <f>+F9*0.01</f>
        <v>0</v>
      </c>
    </row>
    <row r="11" spans="1:8" x14ac:dyDescent="0.25">
      <c r="A11" s="164" t="s">
        <v>116</v>
      </c>
      <c r="B11" s="168">
        <f>+B9-B10</f>
        <v>172242.17249999999</v>
      </c>
      <c r="C11" s="168">
        <f>+C9-C10</f>
        <v>127889.81308124999</v>
      </c>
      <c r="D11" s="168">
        <f>+D9-D10</f>
        <v>84449.480271941808</v>
      </c>
      <c r="E11" s="168">
        <f>+E9-E10</f>
        <v>41802.492734611194</v>
      </c>
      <c r="F11" s="169">
        <f>+F9-F10</f>
        <v>0</v>
      </c>
    </row>
    <row r="12" spans="1:8" x14ac:dyDescent="0.25">
      <c r="B12" s="79"/>
      <c r="C12" s="79"/>
      <c r="D12" s="161"/>
      <c r="E12" s="170"/>
      <c r="F12" s="170"/>
    </row>
    <row r="13" spans="1:8" s="163" customFormat="1" x14ac:dyDescent="0.25">
      <c r="A13" s="151" t="s">
        <v>117</v>
      </c>
      <c r="B13" s="152">
        <f>+B10*B14</f>
        <v>2091756.8080332</v>
      </c>
      <c r="C13" s="171">
        <f>+C10*C14</f>
        <v>307017.60549907287</v>
      </c>
      <c r="D13" s="152">
        <f>+D10*D14</f>
        <v>208814.92350237889</v>
      </c>
      <c r="E13" s="172">
        <f>+E10*E14</f>
        <v>106464.28874768788</v>
      </c>
      <c r="F13" s="173">
        <v>0</v>
      </c>
      <c r="G13" s="155">
        <f>SUM(B13:F13)</f>
        <v>2714053.6257823398</v>
      </c>
      <c r="H13" s="163" t="s">
        <v>118</v>
      </c>
    </row>
    <row r="14" spans="1:8" x14ac:dyDescent="0.25">
      <c r="A14" s="156" t="s">
        <v>119</v>
      </c>
      <c r="B14" s="174">
        <v>230.74127999999999</v>
      </c>
      <c r="C14" s="174">
        <f>+B14*1.03</f>
        <v>237.66351839999999</v>
      </c>
      <c r="D14" s="174">
        <f>+C14*1.03</f>
        <v>244.79342395199998</v>
      </c>
      <c r="E14" s="174">
        <f>+D14*1.03</f>
        <v>252.13722667055998</v>
      </c>
      <c r="F14" s="175">
        <v>0</v>
      </c>
      <c r="G14" s="155"/>
    </row>
    <row r="16" spans="1:8" x14ac:dyDescent="0.25">
      <c r="A16" s="151" t="s">
        <v>120</v>
      </c>
      <c r="B16" s="152">
        <v>903458.98200000008</v>
      </c>
      <c r="C16" s="152">
        <v>663025.01763583289</v>
      </c>
      <c r="D16" s="152">
        <v>450949.76919233374</v>
      </c>
      <c r="E16" s="152">
        <v>229916.73982271136</v>
      </c>
      <c r="F16" s="173">
        <v>0</v>
      </c>
      <c r="G16" s="155">
        <f>SUM(B16:F16)</f>
        <v>2247350.508650878</v>
      </c>
      <c r="H16" s="163" t="s">
        <v>121</v>
      </c>
    </row>
    <row r="17" spans="1:7" x14ac:dyDescent="0.25">
      <c r="A17" s="176" t="s">
        <v>119</v>
      </c>
      <c r="B17" s="177">
        <v>7.48</v>
      </c>
      <c r="C17" s="177">
        <f>+B17*1.03</f>
        <v>7.7044000000000006</v>
      </c>
      <c r="D17" s="177">
        <f>+C17*1.03</f>
        <v>7.9355320000000011</v>
      </c>
      <c r="E17" s="177">
        <f>+D17*1.03</f>
        <v>8.1735979600000022</v>
      </c>
      <c r="F17" s="178">
        <v>0</v>
      </c>
      <c r="G17" s="312"/>
    </row>
    <row r="18" spans="1:7" x14ac:dyDescent="0.25">
      <c r="A18" s="179" t="s">
        <v>122</v>
      </c>
      <c r="B18" s="180">
        <f>+B9*0.6666</f>
        <v>120859.61282999998</v>
      </c>
      <c r="C18" s="180">
        <f>+C9*0.666</f>
        <v>86034.965163749992</v>
      </c>
      <c r="D18" s="180">
        <f>+D9*0.666</f>
        <v>56811.468546579039</v>
      </c>
      <c r="E18" s="180">
        <f>+E9*0.666</f>
        <v>28121.676930556623</v>
      </c>
      <c r="F18" s="146">
        <v>0</v>
      </c>
    </row>
    <row r="20" spans="1:7" x14ac:dyDescent="0.25">
      <c r="G20" s="312"/>
    </row>
    <row r="22" spans="1:7" x14ac:dyDescent="0.25">
      <c r="C22" s="146">
        <f>85/4</f>
        <v>21.25</v>
      </c>
    </row>
  </sheetData>
  <pageMargins left="0.7" right="0.7" top="0.75" bottom="0.75" header="0.3" footer="0.3"/>
  <pageSetup scale="62" orientation="landscape" r:id="rId1"/>
  <headerFooter>
    <oddFooter>&amp;R&amp;"Times New Roman,Bold"&amp;12Attachment to Response to LGE AG Question No. 355
Page 2 of 5
Thomas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X51"/>
  <sheetViews>
    <sheetView view="pageLayout" topLeftCell="D47" zoomScaleNormal="75" workbookViewId="0">
      <selection activeCell="L56" sqref="L56"/>
    </sheetView>
  </sheetViews>
  <sheetFormatPr defaultRowHeight="15.75" x14ac:dyDescent="0.25"/>
  <cols>
    <col min="1" max="1" width="7" style="181" bestFit="1" customWidth="1"/>
    <col min="2" max="2" width="50.42578125" style="146" customWidth="1"/>
    <col min="3" max="3" width="3" style="146" customWidth="1"/>
    <col min="4" max="4" width="11.5703125" style="181" bestFit="1" customWidth="1"/>
    <col min="5" max="5" width="10.28515625" style="146" customWidth="1"/>
    <col min="6" max="9" width="9.85546875" style="146" customWidth="1"/>
    <col min="10" max="10" width="10.140625" style="146" customWidth="1"/>
    <col min="11" max="12" width="13.28515625" style="182" customWidth="1"/>
    <col min="13" max="13" width="13.28515625" style="146" customWidth="1"/>
    <col min="14" max="16" width="14.42578125" style="146" customWidth="1"/>
    <col min="17" max="17" width="18.85546875" style="146" customWidth="1"/>
    <col min="18" max="18" width="10.85546875" style="146" bestFit="1" customWidth="1"/>
    <col min="19" max="19" width="11.5703125" style="146" bestFit="1" customWidth="1"/>
    <col min="20" max="16384" width="9.140625" style="146"/>
  </cols>
  <sheetData>
    <row r="1" spans="1:17" x14ac:dyDescent="0.25">
      <c r="A1" s="321" t="s">
        <v>123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17" x14ac:dyDescent="0.25">
      <c r="A2" s="321" t="s">
        <v>124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</row>
    <row r="4" spans="1:17" x14ac:dyDescent="0.25">
      <c r="E4" s="335" t="s">
        <v>125</v>
      </c>
      <c r="F4" s="335"/>
      <c r="G4" s="335"/>
      <c r="H4" s="335"/>
      <c r="M4" s="336" t="s">
        <v>126</v>
      </c>
      <c r="N4" s="336"/>
      <c r="O4" s="336" t="s">
        <v>127</v>
      </c>
      <c r="P4" s="336"/>
    </row>
    <row r="5" spans="1:17" s="188" customFormat="1" ht="31.5" x14ac:dyDescent="0.25">
      <c r="A5" s="183" t="s">
        <v>128</v>
      </c>
      <c r="B5" s="183" t="s">
        <v>129</v>
      </c>
      <c r="C5" s="184"/>
      <c r="D5" s="183" t="s">
        <v>130</v>
      </c>
      <c r="E5" s="185" t="s">
        <v>131</v>
      </c>
      <c r="F5" s="186" t="s">
        <v>132</v>
      </c>
      <c r="G5" s="185" t="s">
        <v>133</v>
      </c>
      <c r="H5" s="186" t="s">
        <v>134</v>
      </c>
      <c r="I5" s="186" t="s">
        <v>135</v>
      </c>
      <c r="J5" s="185" t="s">
        <v>136</v>
      </c>
      <c r="K5" s="185" t="s">
        <v>137</v>
      </c>
      <c r="L5" s="185" t="s">
        <v>138</v>
      </c>
      <c r="M5" s="185" t="s">
        <v>139</v>
      </c>
      <c r="N5" s="185" t="s">
        <v>140</v>
      </c>
      <c r="O5" s="185" t="s">
        <v>139</v>
      </c>
      <c r="P5" s="185" t="s">
        <v>140</v>
      </c>
      <c r="Q5" s="187" t="s">
        <v>141</v>
      </c>
    </row>
    <row r="6" spans="1:17" s="170" customFormat="1" ht="15" x14ac:dyDescent="0.25">
      <c r="A6" s="328" t="s">
        <v>41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</row>
    <row r="7" spans="1:17" s="170" customFormat="1" ht="15" x14ac:dyDescent="0.25">
      <c r="A7" s="189">
        <v>1</v>
      </c>
      <c r="B7" s="190" t="s">
        <v>142</v>
      </c>
      <c r="C7" s="191"/>
      <c r="D7" s="192">
        <v>1500</v>
      </c>
      <c r="E7" s="193">
        <v>0.5</v>
      </c>
      <c r="F7" s="193">
        <v>0.1</v>
      </c>
      <c r="G7" s="194">
        <v>0.5</v>
      </c>
      <c r="H7" s="193">
        <v>0.1</v>
      </c>
      <c r="I7" s="195">
        <v>1.83</v>
      </c>
      <c r="J7" s="196">
        <v>1</v>
      </c>
      <c r="K7" s="197" t="s">
        <v>143</v>
      </c>
      <c r="L7" s="198">
        <v>2</v>
      </c>
      <c r="M7" s="195">
        <f t="shared" ref="M7:M16" si="0">(IF(L7=1,VLOOKUP(K7,$A$38:$E$41,4,FALSE)*(H7+G7+F7+E7),VLOOKUP(K7,$A$38:$E$38,5,FALSE)*(H7+G7+F7+E7)))*J7</f>
        <v>70.128</v>
      </c>
      <c r="N7" s="199">
        <v>5</v>
      </c>
      <c r="O7" s="200">
        <f t="shared" ref="O7:O18" si="1">((IF($L7=1,$G$39,$I$39)+1)*M7*D7)+I7*D7</f>
        <v>107937</v>
      </c>
      <c r="P7" s="200">
        <f>N7*D7</f>
        <v>7500</v>
      </c>
      <c r="Q7" s="201">
        <f>SUM(O7:P7)</f>
        <v>115437</v>
      </c>
    </row>
    <row r="8" spans="1:17" s="170" customFormat="1" ht="15" x14ac:dyDescent="0.25">
      <c r="A8" s="189">
        <v>2</v>
      </c>
      <c r="B8" s="190" t="s">
        <v>144</v>
      </c>
      <c r="C8" s="191"/>
      <c r="D8" s="192">
        <v>35000</v>
      </c>
      <c r="E8" s="193">
        <v>0.1</v>
      </c>
      <c r="F8" s="193">
        <v>0.1</v>
      </c>
      <c r="G8" s="194">
        <v>0.25</v>
      </c>
      <c r="H8" s="193">
        <v>0.1</v>
      </c>
      <c r="I8" s="195">
        <v>1.83</v>
      </c>
      <c r="J8" s="196">
        <v>1</v>
      </c>
      <c r="K8" s="197" t="s">
        <v>143</v>
      </c>
      <c r="L8" s="198">
        <v>2</v>
      </c>
      <c r="M8" s="195">
        <f t="shared" si="0"/>
        <v>32.141999999999996</v>
      </c>
      <c r="N8" s="199">
        <v>2</v>
      </c>
      <c r="O8" s="200">
        <f t="shared" si="1"/>
        <v>1189019.9999999998</v>
      </c>
      <c r="P8" s="200">
        <f t="shared" ref="P8:P21" si="2">N8*D8</f>
        <v>70000</v>
      </c>
      <c r="Q8" s="201">
        <f t="shared" ref="Q8:Q16" si="3">SUM(O8:P8)</f>
        <v>1259019.9999999998</v>
      </c>
    </row>
    <row r="9" spans="1:17" s="170" customFormat="1" ht="15" x14ac:dyDescent="0.25">
      <c r="A9" s="189">
        <v>3</v>
      </c>
      <c r="B9" s="202" t="s">
        <v>97</v>
      </c>
      <c r="C9" s="191"/>
      <c r="D9" s="192">
        <v>723</v>
      </c>
      <c r="E9" s="193">
        <v>0.5</v>
      </c>
      <c r="F9" s="193">
        <v>0.1</v>
      </c>
      <c r="G9" s="194">
        <v>0.4</v>
      </c>
      <c r="H9" s="193">
        <v>0.1</v>
      </c>
      <c r="I9" s="195">
        <v>1.83</v>
      </c>
      <c r="J9" s="196">
        <v>1</v>
      </c>
      <c r="K9" s="197" t="s">
        <v>143</v>
      </c>
      <c r="L9" s="198">
        <v>2</v>
      </c>
      <c r="M9" s="195">
        <f t="shared" si="0"/>
        <v>64.284000000000006</v>
      </c>
      <c r="N9" s="199">
        <v>0</v>
      </c>
      <c r="O9" s="200">
        <f t="shared" si="1"/>
        <v>47800.422000000006</v>
      </c>
      <c r="P9" s="200">
        <f t="shared" si="2"/>
        <v>0</v>
      </c>
      <c r="Q9" s="201">
        <f t="shared" si="3"/>
        <v>47800.422000000006</v>
      </c>
    </row>
    <row r="10" spans="1:17" s="170" customFormat="1" ht="15" x14ac:dyDescent="0.25">
      <c r="A10" s="189">
        <v>4</v>
      </c>
      <c r="B10" s="190" t="s">
        <v>145</v>
      </c>
      <c r="C10" s="191"/>
      <c r="D10" s="192">
        <v>424</v>
      </c>
      <c r="E10" s="193">
        <v>0.5</v>
      </c>
      <c r="F10" s="193">
        <v>0.1</v>
      </c>
      <c r="G10" s="203">
        <v>1</v>
      </c>
      <c r="H10" s="193">
        <v>0.1</v>
      </c>
      <c r="I10" s="195">
        <v>1.83</v>
      </c>
      <c r="J10" s="196">
        <v>2</v>
      </c>
      <c r="K10" s="197" t="s">
        <v>143</v>
      </c>
      <c r="L10" s="198">
        <v>2</v>
      </c>
      <c r="M10" s="195">
        <f t="shared" si="0"/>
        <v>198.69600000000003</v>
      </c>
      <c r="N10" s="199">
        <v>5</v>
      </c>
      <c r="O10" s="200">
        <f t="shared" si="1"/>
        <v>85023.024000000005</v>
      </c>
      <c r="P10" s="200">
        <f t="shared" si="2"/>
        <v>2120</v>
      </c>
      <c r="Q10" s="201">
        <f t="shared" si="3"/>
        <v>87143.024000000005</v>
      </c>
    </row>
    <row r="11" spans="1:17" s="170" customFormat="1" ht="15" x14ac:dyDescent="0.25">
      <c r="A11" s="189">
        <v>5</v>
      </c>
      <c r="B11" s="190" t="s">
        <v>146</v>
      </c>
      <c r="C11" s="191"/>
      <c r="D11" s="192">
        <v>504</v>
      </c>
      <c r="E11" s="193">
        <v>0.5</v>
      </c>
      <c r="F11" s="193">
        <v>0.1</v>
      </c>
      <c r="G11" s="203">
        <v>2</v>
      </c>
      <c r="H11" s="193">
        <v>0.1</v>
      </c>
      <c r="I11" s="195">
        <v>1.83</v>
      </c>
      <c r="J11" s="196">
        <v>1</v>
      </c>
      <c r="K11" s="197" t="s">
        <v>143</v>
      </c>
      <c r="L11" s="198">
        <v>2</v>
      </c>
      <c r="M11" s="195">
        <f t="shared" si="0"/>
        <v>157.78800000000001</v>
      </c>
      <c r="N11" s="199">
        <v>5</v>
      </c>
      <c r="O11" s="200">
        <f t="shared" si="1"/>
        <v>80447.472000000009</v>
      </c>
      <c r="P11" s="200">
        <f t="shared" si="2"/>
        <v>2520</v>
      </c>
      <c r="Q11" s="201">
        <f t="shared" si="3"/>
        <v>82967.472000000009</v>
      </c>
    </row>
    <row r="12" spans="1:17" s="170" customFormat="1" ht="15" x14ac:dyDescent="0.25">
      <c r="A12" s="189">
        <v>6</v>
      </c>
      <c r="B12" s="190" t="s">
        <v>147</v>
      </c>
      <c r="C12" s="191"/>
      <c r="D12" s="192">
        <v>1308</v>
      </c>
      <c r="E12" s="193">
        <v>0.5</v>
      </c>
      <c r="F12" s="193">
        <v>0.2</v>
      </c>
      <c r="G12" s="194">
        <v>1</v>
      </c>
      <c r="H12" s="193">
        <v>0.1</v>
      </c>
      <c r="I12" s="195">
        <v>1.83</v>
      </c>
      <c r="J12" s="196">
        <v>2</v>
      </c>
      <c r="K12" s="197" t="s">
        <v>143</v>
      </c>
      <c r="L12" s="198">
        <v>2</v>
      </c>
      <c r="M12" s="195">
        <f t="shared" si="0"/>
        <v>210.38399999999999</v>
      </c>
      <c r="N12" s="199">
        <v>5</v>
      </c>
      <c r="O12" s="200">
        <f t="shared" si="1"/>
        <v>277575.91200000001</v>
      </c>
      <c r="P12" s="200">
        <f t="shared" si="2"/>
        <v>6540</v>
      </c>
      <c r="Q12" s="201">
        <f t="shared" si="3"/>
        <v>284115.91200000001</v>
      </c>
    </row>
    <row r="13" spans="1:17" s="170" customFormat="1" ht="15" x14ac:dyDescent="0.25">
      <c r="A13" s="189">
        <v>7</v>
      </c>
      <c r="B13" s="190" t="s">
        <v>148</v>
      </c>
      <c r="C13" s="191"/>
      <c r="D13" s="192">
        <v>62</v>
      </c>
      <c r="E13" s="193">
        <v>0.5</v>
      </c>
      <c r="F13" s="193">
        <v>0.1</v>
      </c>
      <c r="G13" s="194">
        <v>0.5</v>
      </c>
      <c r="H13" s="193">
        <v>0.1</v>
      </c>
      <c r="I13" s="195">
        <v>1.83</v>
      </c>
      <c r="J13" s="196">
        <v>1</v>
      </c>
      <c r="K13" s="197" t="s">
        <v>143</v>
      </c>
      <c r="L13" s="198">
        <v>2</v>
      </c>
      <c r="M13" s="195">
        <f t="shared" si="0"/>
        <v>70.128</v>
      </c>
      <c r="N13" s="199">
        <v>5</v>
      </c>
      <c r="O13" s="200">
        <f t="shared" si="1"/>
        <v>4461.3959999999997</v>
      </c>
      <c r="P13" s="200">
        <f t="shared" si="2"/>
        <v>310</v>
      </c>
      <c r="Q13" s="201">
        <f t="shared" si="3"/>
        <v>4771.3959999999997</v>
      </c>
    </row>
    <row r="14" spans="1:17" s="170" customFormat="1" ht="15" x14ac:dyDescent="0.25">
      <c r="A14" s="189">
        <v>8</v>
      </c>
      <c r="B14" s="190" t="s">
        <v>149</v>
      </c>
      <c r="C14" s="191"/>
      <c r="D14" s="192">
        <v>562</v>
      </c>
      <c r="E14" s="193">
        <v>0.5</v>
      </c>
      <c r="F14" s="193">
        <v>0.2</v>
      </c>
      <c r="G14" s="194">
        <v>2.5</v>
      </c>
      <c r="H14" s="193">
        <v>0.1</v>
      </c>
      <c r="I14" s="195">
        <v>1.83</v>
      </c>
      <c r="J14" s="196">
        <v>2</v>
      </c>
      <c r="K14" s="197" t="s">
        <v>143</v>
      </c>
      <c r="L14" s="198">
        <v>2</v>
      </c>
      <c r="M14" s="195">
        <f t="shared" si="0"/>
        <v>385.70400000000001</v>
      </c>
      <c r="N14" s="199">
        <v>5</v>
      </c>
      <c r="O14" s="200">
        <f t="shared" si="1"/>
        <v>217794.10800000001</v>
      </c>
      <c r="P14" s="200">
        <f t="shared" si="2"/>
        <v>2810</v>
      </c>
      <c r="Q14" s="201">
        <f t="shared" si="3"/>
        <v>220604.10800000001</v>
      </c>
    </row>
    <row r="15" spans="1:17" s="170" customFormat="1" ht="15" x14ac:dyDescent="0.25">
      <c r="A15" s="189">
        <v>9</v>
      </c>
      <c r="B15" s="193" t="s">
        <v>150</v>
      </c>
      <c r="C15" s="191"/>
      <c r="D15" s="192">
        <v>-1176</v>
      </c>
      <c r="E15" s="193">
        <v>0.5</v>
      </c>
      <c r="F15" s="193">
        <v>0.2</v>
      </c>
      <c r="G15" s="194">
        <v>0.5</v>
      </c>
      <c r="H15" s="193">
        <v>0.1</v>
      </c>
      <c r="I15" s="195">
        <v>1.83</v>
      </c>
      <c r="J15" s="196">
        <v>2</v>
      </c>
      <c r="K15" s="197" t="s">
        <v>143</v>
      </c>
      <c r="L15" s="198">
        <v>2</v>
      </c>
      <c r="M15" s="195">
        <f t="shared" si="0"/>
        <v>151.94399999999999</v>
      </c>
      <c r="N15" s="199">
        <v>5</v>
      </c>
      <c r="O15" s="200">
        <f t="shared" si="1"/>
        <v>-180838.22399999999</v>
      </c>
      <c r="P15" s="200">
        <f t="shared" si="2"/>
        <v>-5880</v>
      </c>
      <c r="Q15" s="201">
        <f t="shared" si="3"/>
        <v>-186718.22399999999</v>
      </c>
    </row>
    <row r="16" spans="1:17" s="170" customFormat="1" ht="15" x14ac:dyDescent="0.25">
      <c r="A16" s="189">
        <v>10</v>
      </c>
      <c r="B16" s="193" t="s">
        <v>42</v>
      </c>
      <c r="C16" s="191"/>
      <c r="D16" s="192">
        <v>-1975</v>
      </c>
      <c r="E16" s="193">
        <v>0.5</v>
      </c>
      <c r="F16" s="193">
        <v>0.1</v>
      </c>
      <c r="G16" s="194">
        <v>0.5</v>
      </c>
      <c r="H16" s="193">
        <v>0.1</v>
      </c>
      <c r="I16" s="195">
        <v>1.83</v>
      </c>
      <c r="J16" s="196">
        <v>2</v>
      </c>
      <c r="K16" s="197" t="s">
        <v>143</v>
      </c>
      <c r="L16" s="198">
        <v>1</v>
      </c>
      <c r="M16" s="195">
        <f t="shared" si="0"/>
        <v>79.236599999999981</v>
      </c>
      <c r="N16" s="199">
        <v>10</v>
      </c>
      <c r="O16" s="200">
        <f t="shared" si="1"/>
        <v>-334845.82043099991</v>
      </c>
      <c r="P16" s="200">
        <f t="shared" si="2"/>
        <v>-19750</v>
      </c>
      <c r="Q16" s="201">
        <f t="shared" si="3"/>
        <v>-354595.82043099991</v>
      </c>
    </row>
    <row r="17" spans="1:24" s="170" customFormat="1" ht="15" x14ac:dyDescent="0.25">
      <c r="A17" s="189">
        <v>11</v>
      </c>
      <c r="B17" s="193" t="s">
        <v>151</v>
      </c>
      <c r="C17" s="191"/>
      <c r="D17" s="192">
        <v>-2465</v>
      </c>
      <c r="E17" s="193">
        <v>0.5</v>
      </c>
      <c r="F17" s="194">
        <v>0.1</v>
      </c>
      <c r="G17" s="194">
        <v>0.3</v>
      </c>
      <c r="H17" s="193">
        <v>0.1</v>
      </c>
      <c r="I17" s="195">
        <v>1.83</v>
      </c>
      <c r="J17" s="198">
        <v>1</v>
      </c>
      <c r="K17" s="198" t="s">
        <v>143</v>
      </c>
      <c r="L17" s="198">
        <v>1</v>
      </c>
      <c r="M17" s="195">
        <f>(IF(L17=1,VLOOKUP(K17,$A$38:$E$41,4,FALSE)*(H17+G17+F17+E17),VLOOKUP(K17,$A$38:$E$41,5,FALSE)*(H17+G17+F17+E17)))*J17</f>
        <v>33.015249999999995</v>
      </c>
      <c r="N17" s="199">
        <v>0</v>
      </c>
      <c r="O17" s="200">
        <f t="shared" si="1"/>
        <v>-176765.34263974999</v>
      </c>
      <c r="P17" s="200">
        <f t="shared" si="2"/>
        <v>0</v>
      </c>
      <c r="Q17" s="201">
        <f t="shared" ref="Q17" si="4">SUM(O17:P17)</f>
        <v>-176765.34263974999</v>
      </c>
    </row>
    <row r="18" spans="1:24" s="170" customFormat="1" ht="15" x14ac:dyDescent="0.25">
      <c r="A18" s="189">
        <v>12</v>
      </c>
      <c r="B18" s="193" t="s">
        <v>152</v>
      </c>
      <c r="C18" s="191"/>
      <c r="D18" s="204">
        <v>-512</v>
      </c>
      <c r="E18" s="193">
        <v>0.5</v>
      </c>
      <c r="F18" s="193">
        <v>0.1</v>
      </c>
      <c r="G18" s="194">
        <v>0.5</v>
      </c>
      <c r="H18" s="193">
        <v>0.1</v>
      </c>
      <c r="I18" s="195">
        <v>1.83</v>
      </c>
      <c r="J18" s="198">
        <v>1</v>
      </c>
      <c r="K18" s="198" t="s">
        <v>153</v>
      </c>
      <c r="L18" s="198">
        <v>1</v>
      </c>
      <c r="M18" s="195">
        <f>(IF(L18=1,VLOOKUP(K18,$A$38:$E$41,4,FALSE)*(H18+G18+F18+E18),VLOOKUP(K18,$A$38:$E$41,5,FALSE)*(H18+G18+F18+E18)))*J18</f>
        <v>32.4</v>
      </c>
      <c r="N18" s="199">
        <v>0</v>
      </c>
      <c r="O18" s="200">
        <f t="shared" si="1"/>
        <v>-36048.814079999996</v>
      </c>
      <c r="P18" s="200">
        <f t="shared" si="2"/>
        <v>0</v>
      </c>
      <c r="Q18" s="201">
        <f>SUM(O18:P18)</f>
        <v>-36048.814079999996</v>
      </c>
      <c r="S18" s="205"/>
      <c r="U18" s="206"/>
      <c r="V18" s="206"/>
      <c r="W18" s="206"/>
      <c r="X18" s="206"/>
    </row>
    <row r="19" spans="1:24" s="170" customFormat="1" ht="15" x14ac:dyDescent="0.25">
      <c r="A19" s="189"/>
      <c r="B19" s="207" t="s">
        <v>154</v>
      </c>
      <c r="C19" s="191"/>
      <c r="D19" s="208"/>
      <c r="E19" s="193"/>
      <c r="F19" s="193"/>
      <c r="G19" s="193"/>
      <c r="H19" s="193"/>
      <c r="I19" s="193"/>
      <c r="J19" s="193"/>
      <c r="K19" s="198"/>
      <c r="L19" s="198"/>
      <c r="M19" s="193"/>
      <c r="N19" s="193"/>
      <c r="O19" s="193"/>
      <c r="P19" s="193"/>
      <c r="Q19" s="209">
        <f>SUM(Q7:Q17)</f>
        <v>1383779.9469292499</v>
      </c>
    </row>
    <row r="20" spans="1:24" s="170" customFormat="1" ht="15" x14ac:dyDescent="0.25">
      <c r="A20" s="189">
        <v>15</v>
      </c>
      <c r="B20" s="193" t="s">
        <v>155</v>
      </c>
      <c r="C20" s="191"/>
      <c r="D20" s="192">
        <v>120751</v>
      </c>
      <c r="E20" s="193">
        <v>0.1</v>
      </c>
      <c r="F20" s="194">
        <v>0</v>
      </c>
      <c r="G20" s="194">
        <v>0.1</v>
      </c>
      <c r="H20" s="193">
        <v>0.1</v>
      </c>
      <c r="I20" s="195">
        <v>0</v>
      </c>
      <c r="J20" s="198">
        <v>1</v>
      </c>
      <c r="K20" s="198" t="s">
        <v>156</v>
      </c>
      <c r="L20" s="198">
        <v>2</v>
      </c>
      <c r="M20" s="210">
        <f>(IF(L20=1,VLOOKUP(K20,$A$38:$E$41,4,FALSE)*(H20+G20+F20+E20),VLOOKUP(K20,$A$38:$E$41,5,FALSE)*(H20+G20+F20+E20)))*J20</f>
        <v>7.4820000000000011</v>
      </c>
      <c r="N20" s="199">
        <v>0</v>
      </c>
      <c r="O20" s="200">
        <f>((IF($L20=1,$G$39,$I$39)+1)*M20*D20)+I20*D20</f>
        <v>903458.98200000008</v>
      </c>
      <c r="P20" s="200">
        <f t="shared" si="2"/>
        <v>0</v>
      </c>
      <c r="Q20" s="201">
        <f>SUM(O20:P20)</f>
        <v>903458.98200000008</v>
      </c>
      <c r="S20" s="205"/>
      <c r="U20" s="206"/>
      <c r="V20" s="206"/>
      <c r="W20" s="206"/>
      <c r="X20" s="206"/>
    </row>
    <row r="21" spans="1:24" s="206" customFormat="1" ht="45" x14ac:dyDescent="0.25">
      <c r="A21" s="189">
        <v>16</v>
      </c>
      <c r="B21" s="211" t="s">
        <v>157</v>
      </c>
      <c r="C21" s="212"/>
      <c r="D21" s="192">
        <v>9065</v>
      </c>
      <c r="E21" s="208">
        <v>0.25</v>
      </c>
      <c r="F21" s="208">
        <v>0.1</v>
      </c>
      <c r="G21" s="213">
        <v>1.5585154000000001</v>
      </c>
      <c r="H21" s="208">
        <v>0.05</v>
      </c>
      <c r="I21" s="214">
        <v>1.83</v>
      </c>
      <c r="J21" s="215">
        <v>2</v>
      </c>
      <c r="K21" s="216" t="s">
        <v>143</v>
      </c>
      <c r="L21" s="216">
        <v>2</v>
      </c>
      <c r="M21" s="217">
        <f>(IF(L21=1,VLOOKUP(K21,$A$38:$E$41,4,FALSE)*(H21+G21+F21+E21),VLOOKUP(K21,$A$38:$E$41,5,FALSE)*(H21+G21+F21+E21)))*J21</f>
        <v>228.91127995200003</v>
      </c>
      <c r="N21" s="218">
        <v>0</v>
      </c>
      <c r="O21" s="110">
        <f>((IF($L21=1,$G$39,$I$39)+1)*M21*D21)+I21*D21</f>
        <v>2091669.7027648801</v>
      </c>
      <c r="P21" s="110">
        <f t="shared" si="2"/>
        <v>0</v>
      </c>
      <c r="Q21" s="219">
        <f>SUM(O21:P21)</f>
        <v>2091669.7027648801</v>
      </c>
      <c r="S21" s="205"/>
    </row>
    <row r="22" spans="1:24" s="170" customFormat="1" ht="15" x14ac:dyDescent="0.25">
      <c r="A22" s="328" t="s">
        <v>158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</row>
    <row r="23" spans="1:24" s="170" customFormat="1" ht="15" x14ac:dyDescent="0.25">
      <c r="A23" s="189">
        <v>17</v>
      </c>
      <c r="B23" s="220" t="s">
        <v>29</v>
      </c>
      <c r="C23" s="191"/>
      <c r="D23" s="192">
        <v>50</v>
      </c>
      <c r="E23" s="193">
        <v>0.5</v>
      </c>
      <c r="F23" s="193">
        <v>0.2</v>
      </c>
      <c r="G23" s="194">
        <v>40</v>
      </c>
      <c r="H23" s="193">
        <v>0.2</v>
      </c>
      <c r="I23" s="193">
        <v>1.83</v>
      </c>
      <c r="J23" s="198">
        <v>2</v>
      </c>
      <c r="K23" s="198" t="s">
        <v>143</v>
      </c>
      <c r="L23" s="198">
        <v>1</v>
      </c>
      <c r="M23" s="195">
        <f>(IF(L23=1,VLOOKUP(K23,$A$38:$E$41,4,FALSE)*(H23+G23+F23+E23),VLOOKUP(K23,$A$38:$E$41,5,FALSE)*(H23+G23+F23+E23)))*J23</f>
        <v>2700.6474499999999</v>
      </c>
      <c r="N23" s="199">
        <v>110</v>
      </c>
      <c r="O23" s="200">
        <f t="shared" ref="O23:O32" si="5">((IF($L23=1,$H$39,$J$39)+1)*M23*D23)+I23*D23</f>
        <v>307236.13448849996</v>
      </c>
      <c r="P23" s="200">
        <f t="shared" ref="P23:P32" si="6">N23*D23*(1+$J$39)</f>
        <v>6369</v>
      </c>
      <c r="Q23" s="201">
        <f t="shared" ref="Q23" si="7">SUM(O23:P23)</f>
        <v>313605.13448849996</v>
      </c>
    </row>
    <row r="24" spans="1:24" s="170" customFormat="1" ht="15" x14ac:dyDescent="0.25">
      <c r="A24" s="189">
        <v>18</v>
      </c>
      <c r="B24" s="220" t="s">
        <v>32</v>
      </c>
      <c r="C24" s="191"/>
      <c r="D24" s="192">
        <v>3</v>
      </c>
      <c r="E24" s="193">
        <v>0.5</v>
      </c>
      <c r="F24" s="193">
        <v>0.2</v>
      </c>
      <c r="G24" s="194">
        <v>160</v>
      </c>
      <c r="H24" s="193">
        <v>0.2</v>
      </c>
      <c r="I24" s="193">
        <v>1.83</v>
      </c>
      <c r="J24" s="198">
        <v>6</v>
      </c>
      <c r="K24" s="198" t="s">
        <v>143</v>
      </c>
      <c r="L24" s="198">
        <v>1</v>
      </c>
      <c r="M24" s="195">
        <f t="shared" ref="M24:M30" si="8">(IF(L24=1,VLOOKUP(K24,$A$38:$E$41,4,FALSE)*(H24+G24+F24+E24),VLOOKUP(K24,$A$38:$E$41,5,FALSE)*(H24+G24+F24+E24)))*J24</f>
        <v>31872.92234999999</v>
      </c>
      <c r="N24" s="199">
        <v>236</v>
      </c>
      <c r="O24" s="200">
        <f t="shared" si="5"/>
        <v>217499.9375319299</v>
      </c>
      <c r="P24" s="200">
        <f t="shared" si="6"/>
        <v>819.86399999999992</v>
      </c>
      <c r="Q24" s="201">
        <f t="shared" ref="Q24:Q30" si="9">SUM(O24:P24)</f>
        <v>218319.8015319299</v>
      </c>
    </row>
    <row r="25" spans="1:24" s="170" customFormat="1" ht="15" x14ac:dyDescent="0.25">
      <c r="A25" s="189">
        <v>19</v>
      </c>
      <c r="B25" s="220" t="s">
        <v>33</v>
      </c>
      <c r="C25" s="191"/>
      <c r="D25" s="192">
        <v>560</v>
      </c>
      <c r="E25" s="193">
        <v>0.5</v>
      </c>
      <c r="F25" s="193">
        <v>0.2</v>
      </c>
      <c r="G25" s="194">
        <v>1.75</v>
      </c>
      <c r="H25" s="193">
        <v>0.2</v>
      </c>
      <c r="I25" s="193">
        <v>1.83</v>
      </c>
      <c r="J25" s="198">
        <v>2</v>
      </c>
      <c r="K25" s="198" t="s">
        <v>143</v>
      </c>
      <c r="L25" s="198">
        <v>1</v>
      </c>
      <c r="M25" s="195">
        <f t="shared" si="8"/>
        <v>174.98082499999995</v>
      </c>
      <c r="N25" s="199">
        <v>110</v>
      </c>
      <c r="O25" s="200">
        <f t="shared" si="5"/>
        <v>223911.17534519991</v>
      </c>
      <c r="P25" s="200">
        <f t="shared" si="6"/>
        <v>71332.799999999988</v>
      </c>
      <c r="Q25" s="201">
        <f t="shared" si="9"/>
        <v>295243.97534519993</v>
      </c>
    </row>
    <row r="26" spans="1:24" s="170" customFormat="1" ht="15" x14ac:dyDescent="0.25">
      <c r="A26" s="189">
        <v>20</v>
      </c>
      <c r="B26" s="220" t="s">
        <v>159</v>
      </c>
      <c r="C26" s="191"/>
      <c r="D26" s="192">
        <v>2000</v>
      </c>
      <c r="E26" s="193">
        <v>0.5</v>
      </c>
      <c r="F26" s="193">
        <v>0.2</v>
      </c>
      <c r="G26" s="194">
        <v>3</v>
      </c>
      <c r="H26" s="193">
        <v>0.2</v>
      </c>
      <c r="I26" s="193">
        <v>1.83</v>
      </c>
      <c r="J26" s="198">
        <v>2</v>
      </c>
      <c r="K26" s="198" t="s">
        <v>143</v>
      </c>
      <c r="L26" s="198">
        <v>2</v>
      </c>
      <c r="M26" s="195">
        <f t="shared" si="8"/>
        <v>455.83200000000005</v>
      </c>
      <c r="N26" s="199">
        <v>150</v>
      </c>
      <c r="O26" s="200">
        <f t="shared" si="5"/>
        <v>1059366.912</v>
      </c>
      <c r="P26" s="200">
        <f t="shared" si="6"/>
        <v>347400</v>
      </c>
      <c r="Q26" s="201">
        <f t="shared" si="9"/>
        <v>1406766.912</v>
      </c>
    </row>
    <row r="27" spans="1:24" s="170" customFormat="1" ht="15" x14ac:dyDescent="0.25">
      <c r="A27" s="189">
        <v>21</v>
      </c>
      <c r="B27" s="220" t="s">
        <v>160</v>
      </c>
      <c r="C27" s="191"/>
      <c r="D27" s="192">
        <v>2000</v>
      </c>
      <c r="E27" s="193">
        <v>0.5</v>
      </c>
      <c r="F27" s="193">
        <v>0.2</v>
      </c>
      <c r="G27" s="194">
        <v>0.25</v>
      </c>
      <c r="H27" s="193">
        <v>0.2</v>
      </c>
      <c r="I27" s="193">
        <v>1.83</v>
      </c>
      <c r="J27" s="198">
        <v>2</v>
      </c>
      <c r="K27" s="198" t="s">
        <v>143</v>
      </c>
      <c r="L27" s="198">
        <v>2</v>
      </c>
      <c r="M27" s="195">
        <f t="shared" si="8"/>
        <v>134.41199999999998</v>
      </c>
      <c r="N27" s="199">
        <v>68</v>
      </c>
      <c r="O27" s="200">
        <f t="shared" si="5"/>
        <v>314958.19199999992</v>
      </c>
      <c r="P27" s="200">
        <f t="shared" si="6"/>
        <v>157488</v>
      </c>
      <c r="Q27" s="201">
        <f t="shared" si="9"/>
        <v>472446.19199999992</v>
      </c>
    </row>
    <row r="28" spans="1:24" s="170" customFormat="1" ht="15" x14ac:dyDescent="0.25">
      <c r="A28" s="189">
        <v>22</v>
      </c>
      <c r="B28" s="220" t="s">
        <v>161</v>
      </c>
      <c r="C28" s="191"/>
      <c r="D28" s="192">
        <v>2400</v>
      </c>
      <c r="E28" s="193">
        <v>0.5</v>
      </c>
      <c r="F28" s="193">
        <v>0.2</v>
      </c>
      <c r="G28" s="194">
        <v>5</v>
      </c>
      <c r="H28" s="193">
        <v>0.2</v>
      </c>
      <c r="I28" s="193">
        <v>1.83</v>
      </c>
      <c r="J28" s="198">
        <v>2</v>
      </c>
      <c r="K28" s="198" t="s">
        <v>143</v>
      </c>
      <c r="L28" s="198">
        <v>2</v>
      </c>
      <c r="M28" s="195">
        <f t="shared" si="8"/>
        <v>689.59199999999998</v>
      </c>
      <c r="N28" s="199">
        <v>175</v>
      </c>
      <c r="O28" s="200">
        <f t="shared" si="5"/>
        <v>1920906.0863999999</v>
      </c>
      <c r="P28" s="200">
        <f t="shared" si="6"/>
        <v>486359.99999999994</v>
      </c>
      <c r="Q28" s="201">
        <f t="shared" si="9"/>
        <v>2407266.0863999999</v>
      </c>
      <c r="R28" s="221"/>
    </row>
    <row r="29" spans="1:24" s="170" customFormat="1" ht="15" x14ac:dyDescent="0.25">
      <c r="A29" s="189">
        <v>23</v>
      </c>
      <c r="B29" s="193" t="s">
        <v>162</v>
      </c>
      <c r="C29" s="191"/>
      <c r="D29" s="192">
        <v>2400</v>
      </c>
      <c r="E29" s="193">
        <f>E27</f>
        <v>0.5</v>
      </c>
      <c r="F29" s="193">
        <f t="shared" ref="F29:H29" si="10">F27</f>
        <v>0.2</v>
      </c>
      <c r="G29" s="194">
        <f t="shared" si="10"/>
        <v>0.25</v>
      </c>
      <c r="H29" s="193">
        <f t="shared" si="10"/>
        <v>0.2</v>
      </c>
      <c r="I29" s="193">
        <v>1.83</v>
      </c>
      <c r="J29" s="198">
        <v>1</v>
      </c>
      <c r="K29" s="198" t="s">
        <v>143</v>
      </c>
      <c r="L29" s="198">
        <v>2</v>
      </c>
      <c r="M29" s="195">
        <f t="shared" si="8"/>
        <v>67.205999999999989</v>
      </c>
      <c r="N29" s="199">
        <v>68</v>
      </c>
      <c r="O29" s="200">
        <f t="shared" si="5"/>
        <v>191170.91519999996</v>
      </c>
      <c r="P29" s="200">
        <f t="shared" si="6"/>
        <v>188985.59999999998</v>
      </c>
      <c r="Q29" s="201">
        <f t="shared" si="9"/>
        <v>380156.51519999991</v>
      </c>
    </row>
    <row r="30" spans="1:24" s="170" customFormat="1" ht="15" x14ac:dyDescent="0.25">
      <c r="A30" s="189">
        <v>24</v>
      </c>
      <c r="B30" s="222" t="s">
        <v>163</v>
      </c>
      <c r="C30" s="191"/>
      <c r="D30" s="192">
        <v>2000</v>
      </c>
      <c r="E30" s="193">
        <v>0.5</v>
      </c>
      <c r="F30" s="193">
        <v>0.2</v>
      </c>
      <c r="G30" s="194">
        <v>5</v>
      </c>
      <c r="H30" s="193">
        <v>0.2</v>
      </c>
      <c r="I30" s="193">
        <v>1.83</v>
      </c>
      <c r="J30" s="198">
        <v>2</v>
      </c>
      <c r="K30" s="198" t="s">
        <v>143</v>
      </c>
      <c r="L30" s="198">
        <v>2</v>
      </c>
      <c r="M30" s="195">
        <f t="shared" si="8"/>
        <v>689.59199999999998</v>
      </c>
      <c r="N30" s="199">
        <v>68</v>
      </c>
      <c r="O30" s="200">
        <f t="shared" si="5"/>
        <v>1600755.0719999999</v>
      </c>
      <c r="P30" s="200">
        <f t="shared" si="6"/>
        <v>157488</v>
      </c>
      <c r="Q30" s="201">
        <f t="shared" si="9"/>
        <v>1758243.0719999999</v>
      </c>
    </row>
    <row r="31" spans="1:24" s="170" customFormat="1" ht="15" x14ac:dyDescent="0.25">
      <c r="A31" s="189"/>
      <c r="B31" s="193"/>
      <c r="C31" s="191"/>
      <c r="D31" s="208"/>
      <c r="E31" s="193"/>
      <c r="F31" s="193"/>
      <c r="G31" s="193"/>
      <c r="H31" s="193"/>
      <c r="I31" s="193"/>
      <c r="J31" s="193"/>
      <c r="K31" s="198"/>
      <c r="L31" s="198"/>
      <c r="M31" s="223"/>
      <c r="N31" s="193"/>
      <c r="O31" s="193"/>
      <c r="P31" s="193"/>
      <c r="Q31" s="193"/>
    </row>
    <row r="32" spans="1:24" s="170" customFormat="1" ht="15" x14ac:dyDescent="0.25">
      <c r="A32" s="189">
        <v>25</v>
      </c>
      <c r="B32" s="250" t="s">
        <v>108</v>
      </c>
      <c r="C32" s="191"/>
      <c r="D32" s="192">
        <v>213303</v>
      </c>
      <c r="E32" s="193">
        <v>0.5</v>
      </c>
      <c r="F32" s="193">
        <v>0.2</v>
      </c>
      <c r="G32" s="203">
        <v>2.25</v>
      </c>
      <c r="H32" s="193">
        <v>0.2</v>
      </c>
      <c r="I32" s="193">
        <v>1.83</v>
      </c>
      <c r="J32" s="198">
        <v>2</v>
      </c>
      <c r="K32" s="198" t="s">
        <v>143</v>
      </c>
      <c r="L32" s="198">
        <v>2</v>
      </c>
      <c r="M32" s="195">
        <f t="shared" ref="M32" si="11">(IF(L32=1,VLOOKUP(K32,$A$38:$E$41,4,FALSE)*(H32+G32+F32+E32),VLOOKUP(K32,$A$38:$E$41,5,FALSE)*(H32+G32+F32+E32)))*J32</f>
        <v>368.17200000000003</v>
      </c>
      <c r="N32" s="199">
        <v>107.944733</v>
      </c>
      <c r="O32" s="200">
        <f t="shared" si="5"/>
        <v>91330622.960327983</v>
      </c>
      <c r="P32" s="200">
        <f t="shared" si="6"/>
        <v>26662875.173628639</v>
      </c>
      <c r="Q32" s="201">
        <f t="shared" ref="Q32" si="12">SUM(O32:P32)</f>
        <v>117993498.13395663</v>
      </c>
    </row>
    <row r="33" spans="1:16" s="170" customFormat="1" ht="15" x14ac:dyDescent="0.25">
      <c r="A33" s="224"/>
      <c r="D33" s="206"/>
      <c r="G33" s="225"/>
      <c r="K33" s="226"/>
      <c r="L33" s="226"/>
      <c r="M33" s="227"/>
      <c r="N33" s="221"/>
    </row>
    <row r="34" spans="1:16" s="170" customFormat="1" ht="15" x14ac:dyDescent="0.25">
      <c r="A34" s="224"/>
      <c r="D34" s="206"/>
      <c r="K34" s="226"/>
      <c r="L34" s="226"/>
      <c r="M34" s="227"/>
      <c r="O34" s="221"/>
      <c r="P34" s="283"/>
    </row>
    <row r="35" spans="1:16" s="170" customFormat="1" thickBot="1" x14ac:dyDescent="0.3">
      <c r="A35" s="224"/>
      <c r="D35" s="206"/>
      <c r="K35" s="226"/>
      <c r="L35" s="226"/>
      <c r="P35" s="221"/>
    </row>
    <row r="36" spans="1:16" s="170" customFormat="1" thickBot="1" x14ac:dyDescent="0.3">
      <c r="A36" s="206"/>
      <c r="D36" s="228">
        <v>1</v>
      </c>
      <c r="E36" s="229">
        <v>2</v>
      </c>
      <c r="G36" s="329" t="s">
        <v>164</v>
      </c>
      <c r="H36" s="330"/>
      <c r="I36" s="330"/>
      <c r="J36" s="331"/>
      <c r="K36" s="226"/>
      <c r="L36" s="226"/>
    </row>
    <row r="37" spans="1:16" s="170" customFormat="1" ht="30" x14ac:dyDescent="0.25">
      <c r="A37" s="230" t="s">
        <v>165</v>
      </c>
      <c r="B37" s="231" t="s">
        <v>137</v>
      </c>
      <c r="C37" s="232"/>
      <c r="D37" s="233" t="s">
        <v>166</v>
      </c>
      <c r="E37" s="234" t="s">
        <v>167</v>
      </c>
      <c r="G37" s="332" t="s">
        <v>139</v>
      </c>
      <c r="H37" s="333"/>
      <c r="I37" s="333" t="s">
        <v>168</v>
      </c>
      <c r="J37" s="334"/>
      <c r="K37" s="226"/>
      <c r="L37" s="226"/>
    </row>
    <row r="38" spans="1:16" s="170" customFormat="1" ht="15" x14ac:dyDescent="0.25">
      <c r="A38" s="235" t="s">
        <v>143</v>
      </c>
      <c r="B38" s="236" t="s">
        <v>169</v>
      </c>
      <c r="C38" s="191"/>
      <c r="D38" s="237">
        <f>32.21*1.025</f>
        <v>33.015249999999995</v>
      </c>
      <c r="E38" s="238">
        <v>58.44</v>
      </c>
      <c r="G38" s="239" t="s">
        <v>41</v>
      </c>
      <c r="H38" s="240" t="s">
        <v>158</v>
      </c>
      <c r="I38" s="240" t="s">
        <v>41</v>
      </c>
      <c r="J38" s="241" t="s">
        <v>158</v>
      </c>
      <c r="K38" s="226"/>
      <c r="L38" s="226"/>
    </row>
    <row r="39" spans="1:16" s="170" customFormat="1" thickBot="1" x14ac:dyDescent="0.3">
      <c r="A39" s="235" t="s">
        <v>170</v>
      </c>
      <c r="B39" s="236" t="s">
        <v>171</v>
      </c>
      <c r="C39" s="191"/>
      <c r="D39" s="217">
        <f>32.77*1.025</f>
        <v>33.58925</v>
      </c>
      <c r="E39" s="238">
        <v>58.44</v>
      </c>
      <c r="G39" s="242">
        <v>1.1166</v>
      </c>
      <c r="H39" s="243">
        <v>1.2746</v>
      </c>
      <c r="I39" s="243">
        <v>0</v>
      </c>
      <c r="J39" s="244">
        <v>0.158</v>
      </c>
      <c r="K39" s="226"/>
      <c r="L39" s="226"/>
    </row>
    <row r="40" spans="1:16" s="170" customFormat="1" ht="15" x14ac:dyDescent="0.25">
      <c r="A40" s="235" t="s">
        <v>156</v>
      </c>
      <c r="B40" s="236" t="s">
        <v>172</v>
      </c>
      <c r="C40" s="191"/>
      <c r="D40" s="237" t="s">
        <v>30</v>
      </c>
      <c r="E40" s="238">
        <v>24.94</v>
      </c>
      <c r="K40" s="226"/>
      <c r="L40" s="226"/>
    </row>
    <row r="41" spans="1:16" s="170" customFormat="1" thickBot="1" x14ac:dyDescent="0.3">
      <c r="A41" s="245" t="s">
        <v>153</v>
      </c>
      <c r="B41" s="246" t="s">
        <v>173</v>
      </c>
      <c r="C41" s="247"/>
      <c r="D41" s="248">
        <v>27</v>
      </c>
      <c r="E41" s="249">
        <f>D41*1.77</f>
        <v>47.79</v>
      </c>
      <c r="K41" s="226"/>
      <c r="L41" s="226"/>
    </row>
    <row r="42" spans="1:16" s="170" customFormat="1" ht="15" x14ac:dyDescent="0.25">
      <c r="A42" s="206"/>
      <c r="D42" s="206"/>
      <c r="K42" s="226"/>
      <c r="L42" s="226"/>
    </row>
    <row r="43" spans="1:16" s="170" customFormat="1" ht="15" x14ac:dyDescent="0.25">
      <c r="A43" s="206"/>
      <c r="D43" s="206"/>
      <c r="K43" s="226"/>
      <c r="L43" s="226"/>
    </row>
    <row r="44" spans="1:16" s="170" customFormat="1" ht="15" x14ac:dyDescent="0.25">
      <c r="A44" s="206"/>
      <c r="D44" s="206"/>
      <c r="K44" s="226"/>
      <c r="L44" s="226"/>
    </row>
    <row r="45" spans="1:16" s="170" customFormat="1" ht="15" x14ac:dyDescent="0.25">
      <c r="A45" s="206"/>
      <c r="D45" s="206"/>
      <c r="K45" s="226"/>
      <c r="L45" s="226"/>
    </row>
    <row r="46" spans="1:16" s="170" customFormat="1" ht="15" x14ac:dyDescent="0.25">
      <c r="A46" s="206"/>
      <c r="D46" s="206"/>
      <c r="K46" s="226"/>
      <c r="L46" s="226"/>
    </row>
    <row r="47" spans="1:16" s="170" customFormat="1" ht="15" x14ac:dyDescent="0.25">
      <c r="A47" s="206"/>
      <c r="D47" s="206"/>
      <c r="K47" s="226"/>
      <c r="L47" s="226"/>
    </row>
    <row r="48" spans="1:16" s="170" customFormat="1" ht="15" x14ac:dyDescent="0.25">
      <c r="A48" s="206"/>
      <c r="D48" s="206"/>
      <c r="K48" s="226"/>
      <c r="L48" s="226"/>
    </row>
    <row r="49" spans="1:17" s="170" customFormat="1" ht="15" x14ac:dyDescent="0.25">
      <c r="A49" s="206"/>
      <c r="D49" s="206"/>
      <c r="K49" s="226"/>
      <c r="L49" s="226"/>
    </row>
    <row r="50" spans="1:17" s="170" customFormat="1" ht="15" x14ac:dyDescent="0.25">
      <c r="A50" s="206"/>
      <c r="D50" s="206"/>
      <c r="K50" s="226"/>
      <c r="L50" s="226"/>
    </row>
    <row r="51" spans="1:17" s="170" customFormat="1" x14ac:dyDescent="0.25">
      <c r="A51" s="206"/>
      <c r="D51" s="206"/>
      <c r="K51" s="226"/>
      <c r="L51" s="226"/>
      <c r="M51" s="146"/>
      <c r="N51" s="146"/>
      <c r="O51" s="146"/>
      <c r="P51" s="146"/>
      <c r="Q51" s="146"/>
    </row>
  </sheetData>
  <mergeCells count="10">
    <mergeCell ref="A22:Q22"/>
    <mergeCell ref="G36:J36"/>
    <mergeCell ref="G37:H37"/>
    <mergeCell ref="I37:J37"/>
    <mergeCell ref="A1:Q1"/>
    <mergeCell ref="A2:Q2"/>
    <mergeCell ref="E4:H4"/>
    <mergeCell ref="M4:N4"/>
    <mergeCell ref="O4:P4"/>
    <mergeCell ref="A6:Q6"/>
  </mergeCells>
  <pageMargins left="0.7" right="0.7" top="0.75" bottom="0.75" header="0.3" footer="0.3"/>
  <pageSetup scale="52" orientation="landscape" r:id="rId1"/>
  <headerFooter>
    <oddFooter>&amp;R&amp;"Times New Roman,Bold"&amp;12Attachment to Response to LGE AG Question No. 355
Page 3 of 5
Thomas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37"/>
  <sheetViews>
    <sheetView view="pageLayout" topLeftCell="H46" zoomScaleNormal="75" workbookViewId="0">
      <selection activeCell="N9" sqref="N9"/>
    </sheetView>
  </sheetViews>
  <sheetFormatPr defaultRowHeight="15" x14ac:dyDescent="0.25"/>
  <cols>
    <col min="1" max="1" width="37.140625" style="88" bestFit="1" customWidth="1"/>
    <col min="2" max="2" width="10.28515625" style="78" bestFit="1" customWidth="1"/>
    <col min="3" max="4" width="13.42578125" style="78" bestFit="1" customWidth="1"/>
    <col min="5" max="5" width="10.5703125" style="78" bestFit="1" customWidth="1"/>
    <col min="6" max="7" width="13.42578125" style="78" bestFit="1" customWidth="1"/>
    <col min="8" max="8" width="18.28515625" style="79" bestFit="1" customWidth="1"/>
    <col min="9" max="9" width="16.5703125" style="79" bestFit="1" customWidth="1"/>
    <col min="10" max="10" width="12.7109375" style="80" bestFit="1" customWidth="1"/>
    <col min="11" max="11" width="12.7109375" style="142" customWidth="1"/>
    <col min="12" max="12" width="13.42578125" style="142" customWidth="1"/>
    <col min="13" max="13" width="12.7109375" style="142" customWidth="1"/>
    <col min="14" max="14" width="68.7109375" style="88" bestFit="1" customWidth="1"/>
    <col min="124" max="124" width="37.140625" bestFit="1" customWidth="1"/>
    <col min="125" max="125" width="10.28515625" bestFit="1" customWidth="1"/>
    <col min="126" max="127" width="13.42578125" bestFit="1" customWidth="1"/>
    <col min="128" max="128" width="10.5703125" bestFit="1" customWidth="1"/>
    <col min="129" max="130" width="13.42578125" bestFit="1" customWidth="1"/>
    <col min="131" max="131" width="18.28515625" bestFit="1" customWidth="1"/>
    <col min="132" max="132" width="16.5703125" bestFit="1" customWidth="1"/>
    <col min="133" max="133" width="12.7109375" bestFit="1" customWidth="1"/>
    <col min="134" max="134" width="12.7109375" customWidth="1"/>
    <col min="135" max="135" width="13.42578125" customWidth="1"/>
    <col min="136" max="136" width="12.7109375" customWidth="1"/>
    <col min="137" max="138" width="0" hidden="1" customWidth="1"/>
    <col min="139" max="139" width="68.7109375" bestFit="1" customWidth="1"/>
    <col min="380" max="380" width="37.140625" bestFit="1" customWidth="1"/>
    <col min="381" max="381" width="10.28515625" bestFit="1" customWidth="1"/>
    <col min="382" max="383" width="13.42578125" bestFit="1" customWidth="1"/>
    <col min="384" max="384" width="10.5703125" bestFit="1" customWidth="1"/>
    <col min="385" max="386" width="13.42578125" bestFit="1" customWidth="1"/>
    <col min="387" max="387" width="18.28515625" bestFit="1" customWidth="1"/>
    <col min="388" max="388" width="16.5703125" bestFit="1" customWidth="1"/>
    <col min="389" max="389" width="12.7109375" bestFit="1" customWidth="1"/>
    <col min="390" max="390" width="12.7109375" customWidth="1"/>
    <col min="391" max="391" width="13.42578125" customWidth="1"/>
    <col min="392" max="392" width="12.7109375" customWidth="1"/>
    <col min="393" max="394" width="0" hidden="1" customWidth="1"/>
    <col min="395" max="395" width="68.7109375" bestFit="1" customWidth="1"/>
    <col min="636" max="636" width="37.140625" bestFit="1" customWidth="1"/>
    <col min="637" max="637" width="10.28515625" bestFit="1" customWidth="1"/>
    <col min="638" max="639" width="13.42578125" bestFit="1" customWidth="1"/>
    <col min="640" max="640" width="10.5703125" bestFit="1" customWidth="1"/>
    <col min="641" max="642" width="13.42578125" bestFit="1" customWidth="1"/>
    <col min="643" max="643" width="18.28515625" bestFit="1" customWidth="1"/>
    <col min="644" max="644" width="16.5703125" bestFit="1" customWidth="1"/>
    <col min="645" max="645" width="12.7109375" bestFit="1" customWidth="1"/>
    <col min="646" max="646" width="12.7109375" customWidth="1"/>
    <col min="647" max="647" width="13.42578125" customWidth="1"/>
    <col min="648" max="648" width="12.7109375" customWidth="1"/>
    <col min="649" max="650" width="0" hidden="1" customWidth="1"/>
    <col min="651" max="651" width="68.7109375" bestFit="1" customWidth="1"/>
    <col min="892" max="892" width="37.140625" bestFit="1" customWidth="1"/>
    <col min="893" max="893" width="10.28515625" bestFit="1" customWidth="1"/>
    <col min="894" max="895" width="13.42578125" bestFit="1" customWidth="1"/>
    <col min="896" max="896" width="10.5703125" bestFit="1" customWidth="1"/>
    <col min="897" max="898" width="13.42578125" bestFit="1" customWidth="1"/>
    <col min="899" max="899" width="18.28515625" bestFit="1" customWidth="1"/>
    <col min="900" max="900" width="16.5703125" bestFit="1" customWidth="1"/>
    <col min="901" max="901" width="12.7109375" bestFit="1" customWidth="1"/>
    <col min="902" max="902" width="12.7109375" customWidth="1"/>
    <col min="903" max="903" width="13.42578125" customWidth="1"/>
    <col min="904" max="904" width="12.7109375" customWidth="1"/>
    <col min="905" max="906" width="0" hidden="1" customWidth="1"/>
    <col min="907" max="907" width="68.7109375" bestFit="1" customWidth="1"/>
    <col min="1148" max="1148" width="37.140625" bestFit="1" customWidth="1"/>
    <col min="1149" max="1149" width="10.28515625" bestFit="1" customWidth="1"/>
    <col min="1150" max="1151" width="13.42578125" bestFit="1" customWidth="1"/>
    <col min="1152" max="1152" width="10.5703125" bestFit="1" customWidth="1"/>
    <col min="1153" max="1154" width="13.42578125" bestFit="1" customWidth="1"/>
    <col min="1155" max="1155" width="18.28515625" bestFit="1" customWidth="1"/>
    <col min="1156" max="1156" width="16.5703125" bestFit="1" customWidth="1"/>
    <col min="1157" max="1157" width="12.7109375" bestFit="1" customWidth="1"/>
    <col min="1158" max="1158" width="12.7109375" customWidth="1"/>
    <col min="1159" max="1159" width="13.42578125" customWidth="1"/>
    <col min="1160" max="1160" width="12.7109375" customWidth="1"/>
    <col min="1161" max="1162" width="0" hidden="1" customWidth="1"/>
    <col min="1163" max="1163" width="68.7109375" bestFit="1" customWidth="1"/>
    <col min="1404" max="1404" width="37.140625" bestFit="1" customWidth="1"/>
    <col min="1405" max="1405" width="10.28515625" bestFit="1" customWidth="1"/>
    <col min="1406" max="1407" width="13.42578125" bestFit="1" customWidth="1"/>
    <col min="1408" max="1408" width="10.5703125" bestFit="1" customWidth="1"/>
    <col min="1409" max="1410" width="13.42578125" bestFit="1" customWidth="1"/>
    <col min="1411" max="1411" width="18.28515625" bestFit="1" customWidth="1"/>
    <col min="1412" max="1412" width="16.5703125" bestFit="1" customWidth="1"/>
    <col min="1413" max="1413" width="12.7109375" bestFit="1" customWidth="1"/>
    <col min="1414" max="1414" width="12.7109375" customWidth="1"/>
    <col min="1415" max="1415" width="13.42578125" customWidth="1"/>
    <col min="1416" max="1416" width="12.7109375" customWidth="1"/>
    <col min="1417" max="1418" width="0" hidden="1" customWidth="1"/>
    <col min="1419" max="1419" width="68.7109375" bestFit="1" customWidth="1"/>
    <col min="1660" max="1660" width="37.140625" bestFit="1" customWidth="1"/>
    <col min="1661" max="1661" width="10.28515625" bestFit="1" customWidth="1"/>
    <col min="1662" max="1663" width="13.42578125" bestFit="1" customWidth="1"/>
    <col min="1664" max="1664" width="10.5703125" bestFit="1" customWidth="1"/>
    <col min="1665" max="1666" width="13.42578125" bestFit="1" customWidth="1"/>
    <col min="1667" max="1667" width="18.28515625" bestFit="1" customWidth="1"/>
    <col min="1668" max="1668" width="16.5703125" bestFit="1" customWidth="1"/>
    <col min="1669" max="1669" width="12.7109375" bestFit="1" customWidth="1"/>
    <col min="1670" max="1670" width="12.7109375" customWidth="1"/>
    <col min="1671" max="1671" width="13.42578125" customWidth="1"/>
    <col min="1672" max="1672" width="12.7109375" customWidth="1"/>
    <col min="1673" max="1674" width="0" hidden="1" customWidth="1"/>
    <col min="1675" max="1675" width="68.7109375" bestFit="1" customWidth="1"/>
    <col min="1916" max="1916" width="37.140625" bestFit="1" customWidth="1"/>
    <col min="1917" max="1917" width="10.28515625" bestFit="1" customWidth="1"/>
    <col min="1918" max="1919" width="13.42578125" bestFit="1" customWidth="1"/>
    <col min="1920" max="1920" width="10.5703125" bestFit="1" customWidth="1"/>
    <col min="1921" max="1922" width="13.42578125" bestFit="1" customWidth="1"/>
    <col min="1923" max="1923" width="18.28515625" bestFit="1" customWidth="1"/>
    <col min="1924" max="1924" width="16.5703125" bestFit="1" customWidth="1"/>
    <col min="1925" max="1925" width="12.7109375" bestFit="1" customWidth="1"/>
    <col min="1926" max="1926" width="12.7109375" customWidth="1"/>
    <col min="1927" max="1927" width="13.42578125" customWidth="1"/>
    <col min="1928" max="1928" width="12.7109375" customWidth="1"/>
    <col min="1929" max="1930" width="0" hidden="1" customWidth="1"/>
    <col min="1931" max="1931" width="68.7109375" bestFit="1" customWidth="1"/>
    <col min="2172" max="2172" width="37.140625" bestFit="1" customWidth="1"/>
    <col min="2173" max="2173" width="10.28515625" bestFit="1" customWidth="1"/>
    <col min="2174" max="2175" width="13.42578125" bestFit="1" customWidth="1"/>
    <col min="2176" max="2176" width="10.5703125" bestFit="1" customWidth="1"/>
    <col min="2177" max="2178" width="13.42578125" bestFit="1" customWidth="1"/>
    <col min="2179" max="2179" width="18.28515625" bestFit="1" customWidth="1"/>
    <col min="2180" max="2180" width="16.5703125" bestFit="1" customWidth="1"/>
    <col min="2181" max="2181" width="12.7109375" bestFit="1" customWidth="1"/>
    <col min="2182" max="2182" width="12.7109375" customWidth="1"/>
    <col min="2183" max="2183" width="13.42578125" customWidth="1"/>
    <col min="2184" max="2184" width="12.7109375" customWidth="1"/>
    <col min="2185" max="2186" width="0" hidden="1" customWidth="1"/>
    <col min="2187" max="2187" width="68.7109375" bestFit="1" customWidth="1"/>
    <col min="2428" max="2428" width="37.140625" bestFit="1" customWidth="1"/>
    <col min="2429" max="2429" width="10.28515625" bestFit="1" customWidth="1"/>
    <col min="2430" max="2431" width="13.42578125" bestFit="1" customWidth="1"/>
    <col min="2432" max="2432" width="10.5703125" bestFit="1" customWidth="1"/>
    <col min="2433" max="2434" width="13.42578125" bestFit="1" customWidth="1"/>
    <col min="2435" max="2435" width="18.28515625" bestFit="1" customWidth="1"/>
    <col min="2436" max="2436" width="16.5703125" bestFit="1" customWidth="1"/>
    <col min="2437" max="2437" width="12.7109375" bestFit="1" customWidth="1"/>
    <col min="2438" max="2438" width="12.7109375" customWidth="1"/>
    <col min="2439" max="2439" width="13.42578125" customWidth="1"/>
    <col min="2440" max="2440" width="12.7109375" customWidth="1"/>
    <col min="2441" max="2442" width="0" hidden="1" customWidth="1"/>
    <col min="2443" max="2443" width="68.7109375" bestFit="1" customWidth="1"/>
    <col min="2684" max="2684" width="37.140625" bestFit="1" customWidth="1"/>
    <col min="2685" max="2685" width="10.28515625" bestFit="1" customWidth="1"/>
    <col min="2686" max="2687" width="13.42578125" bestFit="1" customWidth="1"/>
    <col min="2688" max="2688" width="10.5703125" bestFit="1" customWidth="1"/>
    <col min="2689" max="2690" width="13.42578125" bestFit="1" customWidth="1"/>
    <col min="2691" max="2691" width="18.28515625" bestFit="1" customWidth="1"/>
    <col min="2692" max="2692" width="16.5703125" bestFit="1" customWidth="1"/>
    <col min="2693" max="2693" width="12.7109375" bestFit="1" customWidth="1"/>
    <col min="2694" max="2694" width="12.7109375" customWidth="1"/>
    <col min="2695" max="2695" width="13.42578125" customWidth="1"/>
    <col min="2696" max="2696" width="12.7109375" customWidth="1"/>
    <col min="2697" max="2698" width="0" hidden="1" customWidth="1"/>
    <col min="2699" max="2699" width="68.7109375" bestFit="1" customWidth="1"/>
    <col min="2940" max="2940" width="37.140625" bestFit="1" customWidth="1"/>
    <col min="2941" max="2941" width="10.28515625" bestFit="1" customWidth="1"/>
    <col min="2942" max="2943" width="13.42578125" bestFit="1" customWidth="1"/>
    <col min="2944" max="2944" width="10.5703125" bestFit="1" customWidth="1"/>
    <col min="2945" max="2946" width="13.42578125" bestFit="1" customWidth="1"/>
    <col min="2947" max="2947" width="18.28515625" bestFit="1" customWidth="1"/>
    <col min="2948" max="2948" width="16.5703125" bestFit="1" customWidth="1"/>
    <col min="2949" max="2949" width="12.7109375" bestFit="1" customWidth="1"/>
    <col min="2950" max="2950" width="12.7109375" customWidth="1"/>
    <col min="2951" max="2951" width="13.42578125" customWidth="1"/>
    <col min="2952" max="2952" width="12.7109375" customWidth="1"/>
    <col min="2953" max="2954" width="0" hidden="1" customWidth="1"/>
    <col min="2955" max="2955" width="68.7109375" bestFit="1" customWidth="1"/>
    <col min="3196" max="3196" width="37.140625" bestFit="1" customWidth="1"/>
    <col min="3197" max="3197" width="10.28515625" bestFit="1" customWidth="1"/>
    <col min="3198" max="3199" width="13.42578125" bestFit="1" customWidth="1"/>
    <col min="3200" max="3200" width="10.5703125" bestFit="1" customWidth="1"/>
    <col min="3201" max="3202" width="13.42578125" bestFit="1" customWidth="1"/>
    <col min="3203" max="3203" width="18.28515625" bestFit="1" customWidth="1"/>
    <col min="3204" max="3204" width="16.5703125" bestFit="1" customWidth="1"/>
    <col min="3205" max="3205" width="12.7109375" bestFit="1" customWidth="1"/>
    <col min="3206" max="3206" width="12.7109375" customWidth="1"/>
    <col min="3207" max="3207" width="13.42578125" customWidth="1"/>
    <col min="3208" max="3208" width="12.7109375" customWidth="1"/>
    <col min="3209" max="3210" width="0" hidden="1" customWidth="1"/>
    <col min="3211" max="3211" width="68.7109375" bestFit="1" customWidth="1"/>
    <col min="3452" max="3452" width="37.140625" bestFit="1" customWidth="1"/>
    <col min="3453" max="3453" width="10.28515625" bestFit="1" customWidth="1"/>
    <col min="3454" max="3455" width="13.42578125" bestFit="1" customWidth="1"/>
    <col min="3456" max="3456" width="10.5703125" bestFit="1" customWidth="1"/>
    <col min="3457" max="3458" width="13.42578125" bestFit="1" customWidth="1"/>
    <col min="3459" max="3459" width="18.28515625" bestFit="1" customWidth="1"/>
    <col min="3460" max="3460" width="16.5703125" bestFit="1" customWidth="1"/>
    <col min="3461" max="3461" width="12.7109375" bestFit="1" customWidth="1"/>
    <col min="3462" max="3462" width="12.7109375" customWidth="1"/>
    <col min="3463" max="3463" width="13.42578125" customWidth="1"/>
    <col min="3464" max="3464" width="12.7109375" customWidth="1"/>
    <col min="3465" max="3466" width="0" hidden="1" customWidth="1"/>
    <col min="3467" max="3467" width="68.7109375" bestFit="1" customWidth="1"/>
    <col min="3708" max="3708" width="37.140625" bestFit="1" customWidth="1"/>
    <col min="3709" max="3709" width="10.28515625" bestFit="1" customWidth="1"/>
    <col min="3710" max="3711" width="13.42578125" bestFit="1" customWidth="1"/>
    <col min="3712" max="3712" width="10.5703125" bestFit="1" customWidth="1"/>
    <col min="3713" max="3714" width="13.42578125" bestFit="1" customWidth="1"/>
    <col min="3715" max="3715" width="18.28515625" bestFit="1" customWidth="1"/>
    <col min="3716" max="3716" width="16.5703125" bestFit="1" customWidth="1"/>
    <col min="3717" max="3717" width="12.7109375" bestFit="1" customWidth="1"/>
    <col min="3718" max="3718" width="12.7109375" customWidth="1"/>
    <col min="3719" max="3719" width="13.42578125" customWidth="1"/>
    <col min="3720" max="3720" width="12.7109375" customWidth="1"/>
    <col min="3721" max="3722" width="0" hidden="1" customWidth="1"/>
    <col min="3723" max="3723" width="68.7109375" bestFit="1" customWidth="1"/>
    <col min="3964" max="3964" width="37.140625" bestFit="1" customWidth="1"/>
    <col min="3965" max="3965" width="10.28515625" bestFit="1" customWidth="1"/>
    <col min="3966" max="3967" width="13.42578125" bestFit="1" customWidth="1"/>
    <col min="3968" max="3968" width="10.5703125" bestFit="1" customWidth="1"/>
    <col min="3969" max="3970" width="13.42578125" bestFit="1" customWidth="1"/>
    <col min="3971" max="3971" width="18.28515625" bestFit="1" customWidth="1"/>
    <col min="3972" max="3972" width="16.5703125" bestFit="1" customWidth="1"/>
    <col min="3973" max="3973" width="12.7109375" bestFit="1" customWidth="1"/>
    <col min="3974" max="3974" width="12.7109375" customWidth="1"/>
    <col min="3975" max="3975" width="13.42578125" customWidth="1"/>
    <col min="3976" max="3976" width="12.7109375" customWidth="1"/>
    <col min="3977" max="3978" width="0" hidden="1" customWidth="1"/>
    <col min="3979" max="3979" width="68.7109375" bestFit="1" customWidth="1"/>
    <col min="4220" max="4220" width="37.140625" bestFit="1" customWidth="1"/>
    <col min="4221" max="4221" width="10.28515625" bestFit="1" customWidth="1"/>
    <col min="4222" max="4223" width="13.42578125" bestFit="1" customWidth="1"/>
    <col min="4224" max="4224" width="10.5703125" bestFit="1" customWidth="1"/>
    <col min="4225" max="4226" width="13.42578125" bestFit="1" customWidth="1"/>
    <col min="4227" max="4227" width="18.28515625" bestFit="1" customWidth="1"/>
    <col min="4228" max="4228" width="16.5703125" bestFit="1" customWidth="1"/>
    <col min="4229" max="4229" width="12.7109375" bestFit="1" customWidth="1"/>
    <col min="4230" max="4230" width="12.7109375" customWidth="1"/>
    <col min="4231" max="4231" width="13.42578125" customWidth="1"/>
    <col min="4232" max="4232" width="12.7109375" customWidth="1"/>
    <col min="4233" max="4234" width="0" hidden="1" customWidth="1"/>
    <col min="4235" max="4235" width="68.7109375" bestFit="1" customWidth="1"/>
    <col min="4476" max="4476" width="37.140625" bestFit="1" customWidth="1"/>
    <col min="4477" max="4477" width="10.28515625" bestFit="1" customWidth="1"/>
    <col min="4478" max="4479" width="13.42578125" bestFit="1" customWidth="1"/>
    <col min="4480" max="4480" width="10.5703125" bestFit="1" customWidth="1"/>
    <col min="4481" max="4482" width="13.42578125" bestFit="1" customWidth="1"/>
    <col min="4483" max="4483" width="18.28515625" bestFit="1" customWidth="1"/>
    <col min="4484" max="4484" width="16.5703125" bestFit="1" customWidth="1"/>
    <col min="4485" max="4485" width="12.7109375" bestFit="1" customWidth="1"/>
    <col min="4486" max="4486" width="12.7109375" customWidth="1"/>
    <col min="4487" max="4487" width="13.42578125" customWidth="1"/>
    <col min="4488" max="4488" width="12.7109375" customWidth="1"/>
    <col min="4489" max="4490" width="0" hidden="1" customWidth="1"/>
    <col min="4491" max="4491" width="68.7109375" bestFit="1" customWidth="1"/>
    <col min="4732" max="4732" width="37.140625" bestFit="1" customWidth="1"/>
    <col min="4733" max="4733" width="10.28515625" bestFit="1" customWidth="1"/>
    <col min="4734" max="4735" width="13.42578125" bestFit="1" customWidth="1"/>
    <col min="4736" max="4736" width="10.5703125" bestFit="1" customWidth="1"/>
    <col min="4737" max="4738" width="13.42578125" bestFit="1" customWidth="1"/>
    <col min="4739" max="4739" width="18.28515625" bestFit="1" customWidth="1"/>
    <col min="4740" max="4740" width="16.5703125" bestFit="1" customWidth="1"/>
    <col min="4741" max="4741" width="12.7109375" bestFit="1" customWidth="1"/>
    <col min="4742" max="4742" width="12.7109375" customWidth="1"/>
    <col min="4743" max="4743" width="13.42578125" customWidth="1"/>
    <col min="4744" max="4744" width="12.7109375" customWidth="1"/>
    <col min="4745" max="4746" width="0" hidden="1" customWidth="1"/>
    <col min="4747" max="4747" width="68.7109375" bestFit="1" customWidth="1"/>
    <col min="4988" max="4988" width="37.140625" bestFit="1" customWidth="1"/>
    <col min="4989" max="4989" width="10.28515625" bestFit="1" customWidth="1"/>
    <col min="4990" max="4991" width="13.42578125" bestFit="1" customWidth="1"/>
    <col min="4992" max="4992" width="10.5703125" bestFit="1" customWidth="1"/>
    <col min="4993" max="4994" width="13.42578125" bestFit="1" customWidth="1"/>
    <col min="4995" max="4995" width="18.28515625" bestFit="1" customWidth="1"/>
    <col min="4996" max="4996" width="16.5703125" bestFit="1" customWidth="1"/>
    <col min="4997" max="4997" width="12.7109375" bestFit="1" customWidth="1"/>
    <col min="4998" max="4998" width="12.7109375" customWidth="1"/>
    <col min="4999" max="4999" width="13.42578125" customWidth="1"/>
    <col min="5000" max="5000" width="12.7109375" customWidth="1"/>
    <col min="5001" max="5002" width="0" hidden="1" customWidth="1"/>
    <col min="5003" max="5003" width="68.7109375" bestFit="1" customWidth="1"/>
    <col min="5244" max="5244" width="37.140625" bestFit="1" customWidth="1"/>
    <col min="5245" max="5245" width="10.28515625" bestFit="1" customWidth="1"/>
    <col min="5246" max="5247" width="13.42578125" bestFit="1" customWidth="1"/>
    <col min="5248" max="5248" width="10.5703125" bestFit="1" customWidth="1"/>
    <col min="5249" max="5250" width="13.42578125" bestFit="1" customWidth="1"/>
    <col min="5251" max="5251" width="18.28515625" bestFit="1" customWidth="1"/>
    <col min="5252" max="5252" width="16.5703125" bestFit="1" customWidth="1"/>
    <col min="5253" max="5253" width="12.7109375" bestFit="1" customWidth="1"/>
    <col min="5254" max="5254" width="12.7109375" customWidth="1"/>
    <col min="5255" max="5255" width="13.42578125" customWidth="1"/>
    <col min="5256" max="5256" width="12.7109375" customWidth="1"/>
    <col min="5257" max="5258" width="0" hidden="1" customWidth="1"/>
    <col min="5259" max="5259" width="68.7109375" bestFit="1" customWidth="1"/>
    <col min="5500" max="5500" width="37.140625" bestFit="1" customWidth="1"/>
    <col min="5501" max="5501" width="10.28515625" bestFit="1" customWidth="1"/>
    <col min="5502" max="5503" width="13.42578125" bestFit="1" customWidth="1"/>
    <col min="5504" max="5504" width="10.5703125" bestFit="1" customWidth="1"/>
    <col min="5505" max="5506" width="13.42578125" bestFit="1" customWidth="1"/>
    <col min="5507" max="5507" width="18.28515625" bestFit="1" customWidth="1"/>
    <col min="5508" max="5508" width="16.5703125" bestFit="1" customWidth="1"/>
    <col min="5509" max="5509" width="12.7109375" bestFit="1" customWidth="1"/>
    <col min="5510" max="5510" width="12.7109375" customWidth="1"/>
    <col min="5511" max="5511" width="13.42578125" customWidth="1"/>
    <col min="5512" max="5512" width="12.7109375" customWidth="1"/>
    <col min="5513" max="5514" width="0" hidden="1" customWidth="1"/>
    <col min="5515" max="5515" width="68.7109375" bestFit="1" customWidth="1"/>
    <col min="5756" max="5756" width="37.140625" bestFit="1" customWidth="1"/>
    <col min="5757" max="5757" width="10.28515625" bestFit="1" customWidth="1"/>
    <col min="5758" max="5759" width="13.42578125" bestFit="1" customWidth="1"/>
    <col min="5760" max="5760" width="10.5703125" bestFit="1" customWidth="1"/>
    <col min="5761" max="5762" width="13.42578125" bestFit="1" customWidth="1"/>
    <col min="5763" max="5763" width="18.28515625" bestFit="1" customWidth="1"/>
    <col min="5764" max="5764" width="16.5703125" bestFit="1" customWidth="1"/>
    <col min="5765" max="5765" width="12.7109375" bestFit="1" customWidth="1"/>
    <col min="5766" max="5766" width="12.7109375" customWidth="1"/>
    <col min="5767" max="5767" width="13.42578125" customWidth="1"/>
    <col min="5768" max="5768" width="12.7109375" customWidth="1"/>
    <col min="5769" max="5770" width="0" hidden="1" customWidth="1"/>
    <col min="5771" max="5771" width="68.7109375" bestFit="1" customWidth="1"/>
    <col min="6012" max="6012" width="37.140625" bestFit="1" customWidth="1"/>
    <col min="6013" max="6013" width="10.28515625" bestFit="1" customWidth="1"/>
    <col min="6014" max="6015" width="13.42578125" bestFit="1" customWidth="1"/>
    <col min="6016" max="6016" width="10.5703125" bestFit="1" customWidth="1"/>
    <col min="6017" max="6018" width="13.42578125" bestFit="1" customWidth="1"/>
    <col min="6019" max="6019" width="18.28515625" bestFit="1" customWidth="1"/>
    <col min="6020" max="6020" width="16.5703125" bestFit="1" customWidth="1"/>
    <col min="6021" max="6021" width="12.7109375" bestFit="1" customWidth="1"/>
    <col min="6022" max="6022" width="12.7109375" customWidth="1"/>
    <col min="6023" max="6023" width="13.42578125" customWidth="1"/>
    <col min="6024" max="6024" width="12.7109375" customWidth="1"/>
    <col min="6025" max="6026" width="0" hidden="1" customWidth="1"/>
    <col min="6027" max="6027" width="68.7109375" bestFit="1" customWidth="1"/>
    <col min="6268" max="6268" width="37.140625" bestFit="1" customWidth="1"/>
    <col min="6269" max="6269" width="10.28515625" bestFit="1" customWidth="1"/>
    <col min="6270" max="6271" width="13.42578125" bestFit="1" customWidth="1"/>
    <col min="6272" max="6272" width="10.5703125" bestFit="1" customWidth="1"/>
    <col min="6273" max="6274" width="13.42578125" bestFit="1" customWidth="1"/>
    <col min="6275" max="6275" width="18.28515625" bestFit="1" customWidth="1"/>
    <col min="6276" max="6276" width="16.5703125" bestFit="1" customWidth="1"/>
    <col min="6277" max="6277" width="12.7109375" bestFit="1" customWidth="1"/>
    <col min="6278" max="6278" width="12.7109375" customWidth="1"/>
    <col min="6279" max="6279" width="13.42578125" customWidth="1"/>
    <col min="6280" max="6280" width="12.7109375" customWidth="1"/>
    <col min="6281" max="6282" width="0" hidden="1" customWidth="1"/>
    <col min="6283" max="6283" width="68.7109375" bestFit="1" customWidth="1"/>
    <col min="6524" max="6524" width="37.140625" bestFit="1" customWidth="1"/>
    <col min="6525" max="6525" width="10.28515625" bestFit="1" customWidth="1"/>
    <col min="6526" max="6527" width="13.42578125" bestFit="1" customWidth="1"/>
    <col min="6528" max="6528" width="10.5703125" bestFit="1" customWidth="1"/>
    <col min="6529" max="6530" width="13.42578125" bestFit="1" customWidth="1"/>
    <col min="6531" max="6531" width="18.28515625" bestFit="1" customWidth="1"/>
    <col min="6532" max="6532" width="16.5703125" bestFit="1" customWidth="1"/>
    <col min="6533" max="6533" width="12.7109375" bestFit="1" customWidth="1"/>
    <col min="6534" max="6534" width="12.7109375" customWidth="1"/>
    <col min="6535" max="6535" width="13.42578125" customWidth="1"/>
    <col min="6536" max="6536" width="12.7109375" customWidth="1"/>
    <col min="6537" max="6538" width="0" hidden="1" customWidth="1"/>
    <col min="6539" max="6539" width="68.7109375" bestFit="1" customWidth="1"/>
    <col min="6780" max="6780" width="37.140625" bestFit="1" customWidth="1"/>
    <col min="6781" max="6781" width="10.28515625" bestFit="1" customWidth="1"/>
    <col min="6782" max="6783" width="13.42578125" bestFit="1" customWidth="1"/>
    <col min="6784" max="6784" width="10.5703125" bestFit="1" customWidth="1"/>
    <col min="6785" max="6786" width="13.42578125" bestFit="1" customWidth="1"/>
    <col min="6787" max="6787" width="18.28515625" bestFit="1" customWidth="1"/>
    <col min="6788" max="6788" width="16.5703125" bestFit="1" customWidth="1"/>
    <col min="6789" max="6789" width="12.7109375" bestFit="1" customWidth="1"/>
    <col min="6790" max="6790" width="12.7109375" customWidth="1"/>
    <col min="6791" max="6791" width="13.42578125" customWidth="1"/>
    <col min="6792" max="6792" width="12.7109375" customWidth="1"/>
    <col min="6793" max="6794" width="0" hidden="1" customWidth="1"/>
    <col min="6795" max="6795" width="68.7109375" bestFit="1" customWidth="1"/>
    <col min="7036" max="7036" width="37.140625" bestFit="1" customWidth="1"/>
    <col min="7037" max="7037" width="10.28515625" bestFit="1" customWidth="1"/>
    <col min="7038" max="7039" width="13.42578125" bestFit="1" customWidth="1"/>
    <col min="7040" max="7040" width="10.5703125" bestFit="1" customWidth="1"/>
    <col min="7041" max="7042" width="13.42578125" bestFit="1" customWidth="1"/>
    <col min="7043" max="7043" width="18.28515625" bestFit="1" customWidth="1"/>
    <col min="7044" max="7044" width="16.5703125" bestFit="1" customWidth="1"/>
    <col min="7045" max="7045" width="12.7109375" bestFit="1" customWidth="1"/>
    <col min="7046" max="7046" width="12.7109375" customWidth="1"/>
    <col min="7047" max="7047" width="13.42578125" customWidth="1"/>
    <col min="7048" max="7048" width="12.7109375" customWidth="1"/>
    <col min="7049" max="7050" width="0" hidden="1" customWidth="1"/>
    <col min="7051" max="7051" width="68.7109375" bestFit="1" customWidth="1"/>
    <col min="7292" max="7292" width="37.140625" bestFit="1" customWidth="1"/>
    <col min="7293" max="7293" width="10.28515625" bestFit="1" customWidth="1"/>
    <col min="7294" max="7295" width="13.42578125" bestFit="1" customWidth="1"/>
    <col min="7296" max="7296" width="10.5703125" bestFit="1" customWidth="1"/>
    <col min="7297" max="7298" width="13.42578125" bestFit="1" customWidth="1"/>
    <col min="7299" max="7299" width="18.28515625" bestFit="1" customWidth="1"/>
    <col min="7300" max="7300" width="16.5703125" bestFit="1" customWidth="1"/>
    <col min="7301" max="7301" width="12.7109375" bestFit="1" customWidth="1"/>
    <col min="7302" max="7302" width="12.7109375" customWidth="1"/>
    <col min="7303" max="7303" width="13.42578125" customWidth="1"/>
    <col min="7304" max="7304" width="12.7109375" customWidth="1"/>
    <col min="7305" max="7306" width="0" hidden="1" customWidth="1"/>
    <col min="7307" max="7307" width="68.7109375" bestFit="1" customWidth="1"/>
    <col min="7548" max="7548" width="37.140625" bestFit="1" customWidth="1"/>
    <col min="7549" max="7549" width="10.28515625" bestFit="1" customWidth="1"/>
    <col min="7550" max="7551" width="13.42578125" bestFit="1" customWidth="1"/>
    <col min="7552" max="7552" width="10.5703125" bestFit="1" customWidth="1"/>
    <col min="7553" max="7554" width="13.42578125" bestFit="1" customWidth="1"/>
    <col min="7555" max="7555" width="18.28515625" bestFit="1" customWidth="1"/>
    <col min="7556" max="7556" width="16.5703125" bestFit="1" customWidth="1"/>
    <col min="7557" max="7557" width="12.7109375" bestFit="1" customWidth="1"/>
    <col min="7558" max="7558" width="12.7109375" customWidth="1"/>
    <col min="7559" max="7559" width="13.42578125" customWidth="1"/>
    <col min="7560" max="7560" width="12.7109375" customWidth="1"/>
    <col min="7561" max="7562" width="0" hidden="1" customWidth="1"/>
    <col min="7563" max="7563" width="68.7109375" bestFit="1" customWidth="1"/>
    <col min="7804" max="7804" width="37.140625" bestFit="1" customWidth="1"/>
    <col min="7805" max="7805" width="10.28515625" bestFit="1" customWidth="1"/>
    <col min="7806" max="7807" width="13.42578125" bestFit="1" customWidth="1"/>
    <col min="7808" max="7808" width="10.5703125" bestFit="1" customWidth="1"/>
    <col min="7809" max="7810" width="13.42578125" bestFit="1" customWidth="1"/>
    <col min="7811" max="7811" width="18.28515625" bestFit="1" customWidth="1"/>
    <col min="7812" max="7812" width="16.5703125" bestFit="1" customWidth="1"/>
    <col min="7813" max="7813" width="12.7109375" bestFit="1" customWidth="1"/>
    <col min="7814" max="7814" width="12.7109375" customWidth="1"/>
    <col min="7815" max="7815" width="13.42578125" customWidth="1"/>
    <col min="7816" max="7816" width="12.7109375" customWidth="1"/>
    <col min="7817" max="7818" width="0" hidden="1" customWidth="1"/>
    <col min="7819" max="7819" width="68.7109375" bestFit="1" customWidth="1"/>
    <col min="8060" max="8060" width="37.140625" bestFit="1" customWidth="1"/>
    <col min="8061" max="8061" width="10.28515625" bestFit="1" customWidth="1"/>
    <col min="8062" max="8063" width="13.42578125" bestFit="1" customWidth="1"/>
    <col min="8064" max="8064" width="10.5703125" bestFit="1" customWidth="1"/>
    <col min="8065" max="8066" width="13.42578125" bestFit="1" customWidth="1"/>
    <col min="8067" max="8067" width="18.28515625" bestFit="1" customWidth="1"/>
    <col min="8068" max="8068" width="16.5703125" bestFit="1" customWidth="1"/>
    <col min="8069" max="8069" width="12.7109375" bestFit="1" customWidth="1"/>
    <col min="8070" max="8070" width="12.7109375" customWidth="1"/>
    <col min="8071" max="8071" width="13.42578125" customWidth="1"/>
    <col min="8072" max="8072" width="12.7109375" customWidth="1"/>
    <col min="8073" max="8074" width="0" hidden="1" customWidth="1"/>
    <col min="8075" max="8075" width="68.7109375" bestFit="1" customWidth="1"/>
    <col min="8316" max="8316" width="37.140625" bestFit="1" customWidth="1"/>
    <col min="8317" max="8317" width="10.28515625" bestFit="1" customWidth="1"/>
    <col min="8318" max="8319" width="13.42578125" bestFit="1" customWidth="1"/>
    <col min="8320" max="8320" width="10.5703125" bestFit="1" customWidth="1"/>
    <col min="8321" max="8322" width="13.42578125" bestFit="1" customWidth="1"/>
    <col min="8323" max="8323" width="18.28515625" bestFit="1" customWidth="1"/>
    <col min="8324" max="8324" width="16.5703125" bestFit="1" customWidth="1"/>
    <col min="8325" max="8325" width="12.7109375" bestFit="1" customWidth="1"/>
    <col min="8326" max="8326" width="12.7109375" customWidth="1"/>
    <col min="8327" max="8327" width="13.42578125" customWidth="1"/>
    <col min="8328" max="8328" width="12.7109375" customWidth="1"/>
    <col min="8329" max="8330" width="0" hidden="1" customWidth="1"/>
    <col min="8331" max="8331" width="68.7109375" bestFit="1" customWidth="1"/>
    <col min="8572" max="8572" width="37.140625" bestFit="1" customWidth="1"/>
    <col min="8573" max="8573" width="10.28515625" bestFit="1" customWidth="1"/>
    <col min="8574" max="8575" width="13.42578125" bestFit="1" customWidth="1"/>
    <col min="8576" max="8576" width="10.5703125" bestFit="1" customWidth="1"/>
    <col min="8577" max="8578" width="13.42578125" bestFit="1" customWidth="1"/>
    <col min="8579" max="8579" width="18.28515625" bestFit="1" customWidth="1"/>
    <col min="8580" max="8580" width="16.5703125" bestFit="1" customWidth="1"/>
    <col min="8581" max="8581" width="12.7109375" bestFit="1" customWidth="1"/>
    <col min="8582" max="8582" width="12.7109375" customWidth="1"/>
    <col min="8583" max="8583" width="13.42578125" customWidth="1"/>
    <col min="8584" max="8584" width="12.7109375" customWidth="1"/>
    <col min="8585" max="8586" width="0" hidden="1" customWidth="1"/>
    <col min="8587" max="8587" width="68.7109375" bestFit="1" customWidth="1"/>
    <col min="8828" max="8828" width="37.140625" bestFit="1" customWidth="1"/>
    <col min="8829" max="8829" width="10.28515625" bestFit="1" customWidth="1"/>
    <col min="8830" max="8831" width="13.42578125" bestFit="1" customWidth="1"/>
    <col min="8832" max="8832" width="10.5703125" bestFit="1" customWidth="1"/>
    <col min="8833" max="8834" width="13.42578125" bestFit="1" customWidth="1"/>
    <col min="8835" max="8835" width="18.28515625" bestFit="1" customWidth="1"/>
    <col min="8836" max="8836" width="16.5703125" bestFit="1" customWidth="1"/>
    <col min="8837" max="8837" width="12.7109375" bestFit="1" customWidth="1"/>
    <col min="8838" max="8838" width="12.7109375" customWidth="1"/>
    <col min="8839" max="8839" width="13.42578125" customWidth="1"/>
    <col min="8840" max="8840" width="12.7109375" customWidth="1"/>
    <col min="8841" max="8842" width="0" hidden="1" customWidth="1"/>
    <col min="8843" max="8843" width="68.7109375" bestFit="1" customWidth="1"/>
    <col min="9084" max="9084" width="37.140625" bestFit="1" customWidth="1"/>
    <col min="9085" max="9085" width="10.28515625" bestFit="1" customWidth="1"/>
    <col min="9086" max="9087" width="13.42578125" bestFit="1" customWidth="1"/>
    <col min="9088" max="9088" width="10.5703125" bestFit="1" customWidth="1"/>
    <col min="9089" max="9090" width="13.42578125" bestFit="1" customWidth="1"/>
    <col min="9091" max="9091" width="18.28515625" bestFit="1" customWidth="1"/>
    <col min="9092" max="9092" width="16.5703125" bestFit="1" customWidth="1"/>
    <col min="9093" max="9093" width="12.7109375" bestFit="1" customWidth="1"/>
    <col min="9094" max="9094" width="12.7109375" customWidth="1"/>
    <col min="9095" max="9095" width="13.42578125" customWidth="1"/>
    <col min="9096" max="9096" width="12.7109375" customWidth="1"/>
    <col min="9097" max="9098" width="0" hidden="1" customWidth="1"/>
    <col min="9099" max="9099" width="68.7109375" bestFit="1" customWidth="1"/>
    <col min="9340" max="9340" width="37.140625" bestFit="1" customWidth="1"/>
    <col min="9341" max="9341" width="10.28515625" bestFit="1" customWidth="1"/>
    <col min="9342" max="9343" width="13.42578125" bestFit="1" customWidth="1"/>
    <col min="9344" max="9344" width="10.5703125" bestFit="1" customWidth="1"/>
    <col min="9345" max="9346" width="13.42578125" bestFit="1" customWidth="1"/>
    <col min="9347" max="9347" width="18.28515625" bestFit="1" customWidth="1"/>
    <col min="9348" max="9348" width="16.5703125" bestFit="1" customWidth="1"/>
    <col min="9349" max="9349" width="12.7109375" bestFit="1" customWidth="1"/>
    <col min="9350" max="9350" width="12.7109375" customWidth="1"/>
    <col min="9351" max="9351" width="13.42578125" customWidth="1"/>
    <col min="9352" max="9352" width="12.7109375" customWidth="1"/>
    <col min="9353" max="9354" width="0" hidden="1" customWidth="1"/>
    <col min="9355" max="9355" width="68.7109375" bestFit="1" customWidth="1"/>
    <col min="9596" max="9596" width="37.140625" bestFit="1" customWidth="1"/>
    <col min="9597" max="9597" width="10.28515625" bestFit="1" customWidth="1"/>
    <col min="9598" max="9599" width="13.42578125" bestFit="1" customWidth="1"/>
    <col min="9600" max="9600" width="10.5703125" bestFit="1" customWidth="1"/>
    <col min="9601" max="9602" width="13.42578125" bestFit="1" customWidth="1"/>
    <col min="9603" max="9603" width="18.28515625" bestFit="1" customWidth="1"/>
    <col min="9604" max="9604" width="16.5703125" bestFit="1" customWidth="1"/>
    <col min="9605" max="9605" width="12.7109375" bestFit="1" customWidth="1"/>
    <col min="9606" max="9606" width="12.7109375" customWidth="1"/>
    <col min="9607" max="9607" width="13.42578125" customWidth="1"/>
    <col min="9608" max="9608" width="12.7109375" customWidth="1"/>
    <col min="9609" max="9610" width="0" hidden="1" customWidth="1"/>
    <col min="9611" max="9611" width="68.7109375" bestFit="1" customWidth="1"/>
    <col min="9852" max="9852" width="37.140625" bestFit="1" customWidth="1"/>
    <col min="9853" max="9853" width="10.28515625" bestFit="1" customWidth="1"/>
    <col min="9854" max="9855" width="13.42578125" bestFit="1" customWidth="1"/>
    <col min="9856" max="9856" width="10.5703125" bestFit="1" customWidth="1"/>
    <col min="9857" max="9858" width="13.42578125" bestFit="1" customWidth="1"/>
    <col min="9859" max="9859" width="18.28515625" bestFit="1" customWidth="1"/>
    <col min="9860" max="9860" width="16.5703125" bestFit="1" customWidth="1"/>
    <col min="9861" max="9861" width="12.7109375" bestFit="1" customWidth="1"/>
    <col min="9862" max="9862" width="12.7109375" customWidth="1"/>
    <col min="9863" max="9863" width="13.42578125" customWidth="1"/>
    <col min="9864" max="9864" width="12.7109375" customWidth="1"/>
    <col min="9865" max="9866" width="0" hidden="1" customWidth="1"/>
    <col min="9867" max="9867" width="68.7109375" bestFit="1" customWidth="1"/>
    <col min="10108" max="10108" width="37.140625" bestFit="1" customWidth="1"/>
    <col min="10109" max="10109" width="10.28515625" bestFit="1" customWidth="1"/>
    <col min="10110" max="10111" width="13.42578125" bestFit="1" customWidth="1"/>
    <col min="10112" max="10112" width="10.5703125" bestFit="1" customWidth="1"/>
    <col min="10113" max="10114" width="13.42578125" bestFit="1" customWidth="1"/>
    <col min="10115" max="10115" width="18.28515625" bestFit="1" customWidth="1"/>
    <col min="10116" max="10116" width="16.5703125" bestFit="1" customWidth="1"/>
    <col min="10117" max="10117" width="12.7109375" bestFit="1" customWidth="1"/>
    <col min="10118" max="10118" width="12.7109375" customWidth="1"/>
    <col min="10119" max="10119" width="13.42578125" customWidth="1"/>
    <col min="10120" max="10120" width="12.7109375" customWidth="1"/>
    <col min="10121" max="10122" width="0" hidden="1" customWidth="1"/>
    <col min="10123" max="10123" width="68.7109375" bestFit="1" customWidth="1"/>
    <col min="10364" max="10364" width="37.140625" bestFit="1" customWidth="1"/>
    <col min="10365" max="10365" width="10.28515625" bestFit="1" customWidth="1"/>
    <col min="10366" max="10367" width="13.42578125" bestFit="1" customWidth="1"/>
    <col min="10368" max="10368" width="10.5703125" bestFit="1" customWidth="1"/>
    <col min="10369" max="10370" width="13.42578125" bestFit="1" customWidth="1"/>
    <col min="10371" max="10371" width="18.28515625" bestFit="1" customWidth="1"/>
    <col min="10372" max="10372" width="16.5703125" bestFit="1" customWidth="1"/>
    <col min="10373" max="10373" width="12.7109375" bestFit="1" customWidth="1"/>
    <col min="10374" max="10374" width="12.7109375" customWidth="1"/>
    <col min="10375" max="10375" width="13.42578125" customWidth="1"/>
    <col min="10376" max="10376" width="12.7109375" customWidth="1"/>
    <col min="10377" max="10378" width="0" hidden="1" customWidth="1"/>
    <col min="10379" max="10379" width="68.7109375" bestFit="1" customWidth="1"/>
    <col min="10620" max="10620" width="37.140625" bestFit="1" customWidth="1"/>
    <col min="10621" max="10621" width="10.28515625" bestFit="1" customWidth="1"/>
    <col min="10622" max="10623" width="13.42578125" bestFit="1" customWidth="1"/>
    <col min="10624" max="10624" width="10.5703125" bestFit="1" customWidth="1"/>
    <col min="10625" max="10626" width="13.42578125" bestFit="1" customWidth="1"/>
    <col min="10627" max="10627" width="18.28515625" bestFit="1" customWidth="1"/>
    <col min="10628" max="10628" width="16.5703125" bestFit="1" customWidth="1"/>
    <col min="10629" max="10629" width="12.7109375" bestFit="1" customWidth="1"/>
    <col min="10630" max="10630" width="12.7109375" customWidth="1"/>
    <col min="10631" max="10631" width="13.42578125" customWidth="1"/>
    <col min="10632" max="10632" width="12.7109375" customWidth="1"/>
    <col min="10633" max="10634" width="0" hidden="1" customWidth="1"/>
    <col min="10635" max="10635" width="68.7109375" bestFit="1" customWidth="1"/>
    <col min="10876" max="10876" width="37.140625" bestFit="1" customWidth="1"/>
    <col min="10877" max="10877" width="10.28515625" bestFit="1" customWidth="1"/>
    <col min="10878" max="10879" width="13.42578125" bestFit="1" customWidth="1"/>
    <col min="10880" max="10880" width="10.5703125" bestFit="1" customWidth="1"/>
    <col min="10881" max="10882" width="13.42578125" bestFit="1" customWidth="1"/>
    <col min="10883" max="10883" width="18.28515625" bestFit="1" customWidth="1"/>
    <col min="10884" max="10884" width="16.5703125" bestFit="1" customWidth="1"/>
    <col min="10885" max="10885" width="12.7109375" bestFit="1" customWidth="1"/>
    <col min="10886" max="10886" width="12.7109375" customWidth="1"/>
    <col min="10887" max="10887" width="13.42578125" customWidth="1"/>
    <col min="10888" max="10888" width="12.7109375" customWidth="1"/>
    <col min="10889" max="10890" width="0" hidden="1" customWidth="1"/>
    <col min="10891" max="10891" width="68.7109375" bestFit="1" customWidth="1"/>
    <col min="11132" max="11132" width="37.140625" bestFit="1" customWidth="1"/>
    <col min="11133" max="11133" width="10.28515625" bestFit="1" customWidth="1"/>
    <col min="11134" max="11135" width="13.42578125" bestFit="1" customWidth="1"/>
    <col min="11136" max="11136" width="10.5703125" bestFit="1" customWidth="1"/>
    <col min="11137" max="11138" width="13.42578125" bestFit="1" customWidth="1"/>
    <col min="11139" max="11139" width="18.28515625" bestFit="1" customWidth="1"/>
    <col min="11140" max="11140" width="16.5703125" bestFit="1" customWidth="1"/>
    <col min="11141" max="11141" width="12.7109375" bestFit="1" customWidth="1"/>
    <col min="11142" max="11142" width="12.7109375" customWidth="1"/>
    <col min="11143" max="11143" width="13.42578125" customWidth="1"/>
    <col min="11144" max="11144" width="12.7109375" customWidth="1"/>
    <col min="11145" max="11146" width="0" hidden="1" customWidth="1"/>
    <col min="11147" max="11147" width="68.7109375" bestFit="1" customWidth="1"/>
    <col min="11388" max="11388" width="37.140625" bestFit="1" customWidth="1"/>
    <col min="11389" max="11389" width="10.28515625" bestFit="1" customWidth="1"/>
    <col min="11390" max="11391" width="13.42578125" bestFit="1" customWidth="1"/>
    <col min="11392" max="11392" width="10.5703125" bestFit="1" customWidth="1"/>
    <col min="11393" max="11394" width="13.42578125" bestFit="1" customWidth="1"/>
    <col min="11395" max="11395" width="18.28515625" bestFit="1" customWidth="1"/>
    <col min="11396" max="11396" width="16.5703125" bestFit="1" customWidth="1"/>
    <col min="11397" max="11397" width="12.7109375" bestFit="1" customWidth="1"/>
    <col min="11398" max="11398" width="12.7109375" customWidth="1"/>
    <col min="11399" max="11399" width="13.42578125" customWidth="1"/>
    <col min="11400" max="11400" width="12.7109375" customWidth="1"/>
    <col min="11401" max="11402" width="0" hidden="1" customWidth="1"/>
    <col min="11403" max="11403" width="68.7109375" bestFit="1" customWidth="1"/>
    <col min="11644" max="11644" width="37.140625" bestFit="1" customWidth="1"/>
    <col min="11645" max="11645" width="10.28515625" bestFit="1" customWidth="1"/>
    <col min="11646" max="11647" width="13.42578125" bestFit="1" customWidth="1"/>
    <col min="11648" max="11648" width="10.5703125" bestFit="1" customWidth="1"/>
    <col min="11649" max="11650" width="13.42578125" bestFit="1" customWidth="1"/>
    <col min="11651" max="11651" width="18.28515625" bestFit="1" customWidth="1"/>
    <col min="11652" max="11652" width="16.5703125" bestFit="1" customWidth="1"/>
    <col min="11653" max="11653" width="12.7109375" bestFit="1" customWidth="1"/>
    <col min="11654" max="11654" width="12.7109375" customWidth="1"/>
    <col min="11655" max="11655" width="13.42578125" customWidth="1"/>
    <col min="11656" max="11656" width="12.7109375" customWidth="1"/>
    <col min="11657" max="11658" width="0" hidden="1" customWidth="1"/>
    <col min="11659" max="11659" width="68.7109375" bestFit="1" customWidth="1"/>
    <col min="11900" max="11900" width="37.140625" bestFit="1" customWidth="1"/>
    <col min="11901" max="11901" width="10.28515625" bestFit="1" customWidth="1"/>
    <col min="11902" max="11903" width="13.42578125" bestFit="1" customWidth="1"/>
    <col min="11904" max="11904" width="10.5703125" bestFit="1" customWidth="1"/>
    <col min="11905" max="11906" width="13.42578125" bestFit="1" customWidth="1"/>
    <col min="11907" max="11907" width="18.28515625" bestFit="1" customWidth="1"/>
    <col min="11908" max="11908" width="16.5703125" bestFit="1" customWidth="1"/>
    <col min="11909" max="11909" width="12.7109375" bestFit="1" customWidth="1"/>
    <col min="11910" max="11910" width="12.7109375" customWidth="1"/>
    <col min="11911" max="11911" width="13.42578125" customWidth="1"/>
    <col min="11912" max="11912" width="12.7109375" customWidth="1"/>
    <col min="11913" max="11914" width="0" hidden="1" customWidth="1"/>
    <col min="11915" max="11915" width="68.7109375" bestFit="1" customWidth="1"/>
    <col min="12156" max="12156" width="37.140625" bestFit="1" customWidth="1"/>
    <col min="12157" max="12157" width="10.28515625" bestFit="1" customWidth="1"/>
    <col min="12158" max="12159" width="13.42578125" bestFit="1" customWidth="1"/>
    <col min="12160" max="12160" width="10.5703125" bestFit="1" customWidth="1"/>
    <col min="12161" max="12162" width="13.42578125" bestFit="1" customWidth="1"/>
    <col min="12163" max="12163" width="18.28515625" bestFit="1" customWidth="1"/>
    <col min="12164" max="12164" width="16.5703125" bestFit="1" customWidth="1"/>
    <col min="12165" max="12165" width="12.7109375" bestFit="1" customWidth="1"/>
    <col min="12166" max="12166" width="12.7109375" customWidth="1"/>
    <col min="12167" max="12167" width="13.42578125" customWidth="1"/>
    <col min="12168" max="12168" width="12.7109375" customWidth="1"/>
    <col min="12169" max="12170" width="0" hidden="1" customWidth="1"/>
    <col min="12171" max="12171" width="68.7109375" bestFit="1" customWidth="1"/>
    <col min="12412" max="12412" width="37.140625" bestFit="1" customWidth="1"/>
    <col min="12413" max="12413" width="10.28515625" bestFit="1" customWidth="1"/>
    <col min="12414" max="12415" width="13.42578125" bestFit="1" customWidth="1"/>
    <col min="12416" max="12416" width="10.5703125" bestFit="1" customWidth="1"/>
    <col min="12417" max="12418" width="13.42578125" bestFit="1" customWidth="1"/>
    <col min="12419" max="12419" width="18.28515625" bestFit="1" customWidth="1"/>
    <col min="12420" max="12420" width="16.5703125" bestFit="1" customWidth="1"/>
    <col min="12421" max="12421" width="12.7109375" bestFit="1" customWidth="1"/>
    <col min="12422" max="12422" width="12.7109375" customWidth="1"/>
    <col min="12423" max="12423" width="13.42578125" customWidth="1"/>
    <col min="12424" max="12424" width="12.7109375" customWidth="1"/>
    <col min="12425" max="12426" width="0" hidden="1" customWidth="1"/>
    <col min="12427" max="12427" width="68.7109375" bestFit="1" customWidth="1"/>
    <col min="12668" max="12668" width="37.140625" bestFit="1" customWidth="1"/>
    <col min="12669" max="12669" width="10.28515625" bestFit="1" customWidth="1"/>
    <col min="12670" max="12671" width="13.42578125" bestFit="1" customWidth="1"/>
    <col min="12672" max="12672" width="10.5703125" bestFit="1" customWidth="1"/>
    <col min="12673" max="12674" width="13.42578125" bestFit="1" customWidth="1"/>
    <col min="12675" max="12675" width="18.28515625" bestFit="1" customWidth="1"/>
    <col min="12676" max="12676" width="16.5703125" bestFit="1" customWidth="1"/>
    <col min="12677" max="12677" width="12.7109375" bestFit="1" customWidth="1"/>
    <col min="12678" max="12678" width="12.7109375" customWidth="1"/>
    <col min="12679" max="12679" width="13.42578125" customWidth="1"/>
    <col min="12680" max="12680" width="12.7109375" customWidth="1"/>
    <col min="12681" max="12682" width="0" hidden="1" customWidth="1"/>
    <col min="12683" max="12683" width="68.7109375" bestFit="1" customWidth="1"/>
    <col min="12924" max="12924" width="37.140625" bestFit="1" customWidth="1"/>
    <col min="12925" max="12925" width="10.28515625" bestFit="1" customWidth="1"/>
    <col min="12926" max="12927" width="13.42578125" bestFit="1" customWidth="1"/>
    <col min="12928" max="12928" width="10.5703125" bestFit="1" customWidth="1"/>
    <col min="12929" max="12930" width="13.42578125" bestFit="1" customWidth="1"/>
    <col min="12931" max="12931" width="18.28515625" bestFit="1" customWidth="1"/>
    <col min="12932" max="12932" width="16.5703125" bestFit="1" customWidth="1"/>
    <col min="12933" max="12933" width="12.7109375" bestFit="1" customWidth="1"/>
    <col min="12934" max="12934" width="12.7109375" customWidth="1"/>
    <col min="12935" max="12935" width="13.42578125" customWidth="1"/>
    <col min="12936" max="12936" width="12.7109375" customWidth="1"/>
    <col min="12937" max="12938" width="0" hidden="1" customWidth="1"/>
    <col min="12939" max="12939" width="68.7109375" bestFit="1" customWidth="1"/>
    <col min="13180" max="13180" width="37.140625" bestFit="1" customWidth="1"/>
    <col min="13181" max="13181" width="10.28515625" bestFit="1" customWidth="1"/>
    <col min="13182" max="13183" width="13.42578125" bestFit="1" customWidth="1"/>
    <col min="13184" max="13184" width="10.5703125" bestFit="1" customWidth="1"/>
    <col min="13185" max="13186" width="13.42578125" bestFit="1" customWidth="1"/>
    <col min="13187" max="13187" width="18.28515625" bestFit="1" customWidth="1"/>
    <col min="13188" max="13188" width="16.5703125" bestFit="1" customWidth="1"/>
    <col min="13189" max="13189" width="12.7109375" bestFit="1" customWidth="1"/>
    <col min="13190" max="13190" width="12.7109375" customWidth="1"/>
    <col min="13191" max="13191" width="13.42578125" customWidth="1"/>
    <col min="13192" max="13192" width="12.7109375" customWidth="1"/>
    <col min="13193" max="13194" width="0" hidden="1" customWidth="1"/>
    <col min="13195" max="13195" width="68.7109375" bestFit="1" customWidth="1"/>
    <col min="13436" max="13436" width="37.140625" bestFit="1" customWidth="1"/>
    <col min="13437" max="13437" width="10.28515625" bestFit="1" customWidth="1"/>
    <col min="13438" max="13439" width="13.42578125" bestFit="1" customWidth="1"/>
    <col min="13440" max="13440" width="10.5703125" bestFit="1" customWidth="1"/>
    <col min="13441" max="13442" width="13.42578125" bestFit="1" customWidth="1"/>
    <col min="13443" max="13443" width="18.28515625" bestFit="1" customWidth="1"/>
    <col min="13444" max="13444" width="16.5703125" bestFit="1" customWidth="1"/>
    <col min="13445" max="13445" width="12.7109375" bestFit="1" customWidth="1"/>
    <col min="13446" max="13446" width="12.7109375" customWidth="1"/>
    <col min="13447" max="13447" width="13.42578125" customWidth="1"/>
    <col min="13448" max="13448" width="12.7109375" customWidth="1"/>
    <col min="13449" max="13450" width="0" hidden="1" customWidth="1"/>
    <col min="13451" max="13451" width="68.7109375" bestFit="1" customWidth="1"/>
    <col min="13692" max="13692" width="37.140625" bestFit="1" customWidth="1"/>
    <col min="13693" max="13693" width="10.28515625" bestFit="1" customWidth="1"/>
    <col min="13694" max="13695" width="13.42578125" bestFit="1" customWidth="1"/>
    <col min="13696" max="13696" width="10.5703125" bestFit="1" customWidth="1"/>
    <col min="13697" max="13698" width="13.42578125" bestFit="1" customWidth="1"/>
    <col min="13699" max="13699" width="18.28515625" bestFit="1" customWidth="1"/>
    <col min="13700" max="13700" width="16.5703125" bestFit="1" customWidth="1"/>
    <col min="13701" max="13701" width="12.7109375" bestFit="1" customWidth="1"/>
    <col min="13702" max="13702" width="12.7109375" customWidth="1"/>
    <col min="13703" max="13703" width="13.42578125" customWidth="1"/>
    <col min="13704" max="13704" width="12.7109375" customWidth="1"/>
    <col min="13705" max="13706" width="0" hidden="1" customWidth="1"/>
    <col min="13707" max="13707" width="68.7109375" bestFit="1" customWidth="1"/>
    <col min="13948" max="13948" width="37.140625" bestFit="1" customWidth="1"/>
    <col min="13949" max="13949" width="10.28515625" bestFit="1" customWidth="1"/>
    <col min="13950" max="13951" width="13.42578125" bestFit="1" customWidth="1"/>
    <col min="13952" max="13952" width="10.5703125" bestFit="1" customWidth="1"/>
    <col min="13953" max="13954" width="13.42578125" bestFit="1" customWidth="1"/>
    <col min="13955" max="13955" width="18.28515625" bestFit="1" customWidth="1"/>
    <col min="13956" max="13956" width="16.5703125" bestFit="1" customWidth="1"/>
    <col min="13957" max="13957" width="12.7109375" bestFit="1" customWidth="1"/>
    <col min="13958" max="13958" width="12.7109375" customWidth="1"/>
    <col min="13959" max="13959" width="13.42578125" customWidth="1"/>
    <col min="13960" max="13960" width="12.7109375" customWidth="1"/>
    <col min="13961" max="13962" width="0" hidden="1" customWidth="1"/>
    <col min="13963" max="13963" width="68.7109375" bestFit="1" customWidth="1"/>
    <col min="14204" max="14204" width="37.140625" bestFit="1" customWidth="1"/>
    <col min="14205" max="14205" width="10.28515625" bestFit="1" customWidth="1"/>
    <col min="14206" max="14207" width="13.42578125" bestFit="1" customWidth="1"/>
    <col min="14208" max="14208" width="10.5703125" bestFit="1" customWidth="1"/>
    <col min="14209" max="14210" width="13.42578125" bestFit="1" customWidth="1"/>
    <col min="14211" max="14211" width="18.28515625" bestFit="1" customWidth="1"/>
    <col min="14212" max="14212" width="16.5703125" bestFit="1" customWidth="1"/>
    <col min="14213" max="14213" width="12.7109375" bestFit="1" customWidth="1"/>
    <col min="14214" max="14214" width="12.7109375" customWidth="1"/>
    <col min="14215" max="14215" width="13.42578125" customWidth="1"/>
    <col min="14216" max="14216" width="12.7109375" customWidth="1"/>
    <col min="14217" max="14218" width="0" hidden="1" customWidth="1"/>
    <col min="14219" max="14219" width="68.7109375" bestFit="1" customWidth="1"/>
    <col min="14460" max="14460" width="37.140625" bestFit="1" customWidth="1"/>
    <col min="14461" max="14461" width="10.28515625" bestFit="1" customWidth="1"/>
    <col min="14462" max="14463" width="13.42578125" bestFit="1" customWidth="1"/>
    <col min="14464" max="14464" width="10.5703125" bestFit="1" customWidth="1"/>
    <col min="14465" max="14466" width="13.42578125" bestFit="1" customWidth="1"/>
    <col min="14467" max="14467" width="18.28515625" bestFit="1" customWidth="1"/>
    <col min="14468" max="14468" width="16.5703125" bestFit="1" customWidth="1"/>
    <col min="14469" max="14469" width="12.7109375" bestFit="1" customWidth="1"/>
    <col min="14470" max="14470" width="12.7109375" customWidth="1"/>
    <col min="14471" max="14471" width="13.42578125" customWidth="1"/>
    <col min="14472" max="14472" width="12.7109375" customWidth="1"/>
    <col min="14473" max="14474" width="0" hidden="1" customWidth="1"/>
    <col min="14475" max="14475" width="68.7109375" bestFit="1" customWidth="1"/>
    <col min="14716" max="14716" width="37.140625" bestFit="1" customWidth="1"/>
    <col min="14717" max="14717" width="10.28515625" bestFit="1" customWidth="1"/>
    <col min="14718" max="14719" width="13.42578125" bestFit="1" customWidth="1"/>
    <col min="14720" max="14720" width="10.5703125" bestFit="1" customWidth="1"/>
    <col min="14721" max="14722" width="13.42578125" bestFit="1" customWidth="1"/>
    <col min="14723" max="14723" width="18.28515625" bestFit="1" customWidth="1"/>
    <col min="14724" max="14724" width="16.5703125" bestFit="1" customWidth="1"/>
    <col min="14725" max="14725" width="12.7109375" bestFit="1" customWidth="1"/>
    <col min="14726" max="14726" width="12.7109375" customWidth="1"/>
    <col min="14727" max="14727" width="13.42578125" customWidth="1"/>
    <col min="14728" max="14728" width="12.7109375" customWidth="1"/>
    <col min="14729" max="14730" width="0" hidden="1" customWidth="1"/>
    <col min="14731" max="14731" width="68.7109375" bestFit="1" customWidth="1"/>
    <col min="14972" max="14972" width="37.140625" bestFit="1" customWidth="1"/>
    <col min="14973" max="14973" width="10.28515625" bestFit="1" customWidth="1"/>
    <col min="14974" max="14975" width="13.42578125" bestFit="1" customWidth="1"/>
    <col min="14976" max="14976" width="10.5703125" bestFit="1" customWidth="1"/>
    <col min="14977" max="14978" width="13.42578125" bestFit="1" customWidth="1"/>
    <col min="14979" max="14979" width="18.28515625" bestFit="1" customWidth="1"/>
    <col min="14980" max="14980" width="16.5703125" bestFit="1" customWidth="1"/>
    <col min="14981" max="14981" width="12.7109375" bestFit="1" customWidth="1"/>
    <col min="14982" max="14982" width="12.7109375" customWidth="1"/>
    <col min="14983" max="14983" width="13.42578125" customWidth="1"/>
    <col min="14984" max="14984" width="12.7109375" customWidth="1"/>
    <col min="14985" max="14986" width="0" hidden="1" customWidth="1"/>
    <col min="14987" max="14987" width="68.7109375" bestFit="1" customWidth="1"/>
    <col min="15228" max="15228" width="37.140625" bestFit="1" customWidth="1"/>
    <col min="15229" max="15229" width="10.28515625" bestFit="1" customWidth="1"/>
    <col min="15230" max="15231" width="13.42578125" bestFit="1" customWidth="1"/>
    <col min="15232" max="15232" width="10.5703125" bestFit="1" customWidth="1"/>
    <col min="15233" max="15234" width="13.42578125" bestFit="1" customWidth="1"/>
    <col min="15235" max="15235" width="18.28515625" bestFit="1" customWidth="1"/>
    <col min="15236" max="15236" width="16.5703125" bestFit="1" customWidth="1"/>
    <col min="15237" max="15237" width="12.7109375" bestFit="1" customWidth="1"/>
    <col min="15238" max="15238" width="12.7109375" customWidth="1"/>
    <col min="15239" max="15239" width="13.42578125" customWidth="1"/>
    <col min="15240" max="15240" width="12.7109375" customWidth="1"/>
    <col min="15241" max="15242" width="0" hidden="1" customWidth="1"/>
    <col min="15243" max="15243" width="68.7109375" bestFit="1" customWidth="1"/>
    <col min="15484" max="15484" width="37.140625" bestFit="1" customWidth="1"/>
    <col min="15485" max="15485" width="10.28515625" bestFit="1" customWidth="1"/>
    <col min="15486" max="15487" width="13.42578125" bestFit="1" customWidth="1"/>
    <col min="15488" max="15488" width="10.5703125" bestFit="1" customWidth="1"/>
    <col min="15489" max="15490" width="13.42578125" bestFit="1" customWidth="1"/>
    <col min="15491" max="15491" width="18.28515625" bestFit="1" customWidth="1"/>
    <col min="15492" max="15492" width="16.5703125" bestFit="1" customWidth="1"/>
    <col min="15493" max="15493" width="12.7109375" bestFit="1" customWidth="1"/>
    <col min="15494" max="15494" width="12.7109375" customWidth="1"/>
    <col min="15495" max="15495" width="13.42578125" customWidth="1"/>
    <col min="15496" max="15496" width="12.7109375" customWidth="1"/>
    <col min="15497" max="15498" width="0" hidden="1" customWidth="1"/>
    <col min="15499" max="15499" width="68.7109375" bestFit="1" customWidth="1"/>
    <col min="15740" max="15740" width="37.140625" bestFit="1" customWidth="1"/>
    <col min="15741" max="15741" width="10.28515625" bestFit="1" customWidth="1"/>
    <col min="15742" max="15743" width="13.42578125" bestFit="1" customWidth="1"/>
    <col min="15744" max="15744" width="10.5703125" bestFit="1" customWidth="1"/>
    <col min="15745" max="15746" width="13.42578125" bestFit="1" customWidth="1"/>
    <col min="15747" max="15747" width="18.28515625" bestFit="1" customWidth="1"/>
    <col min="15748" max="15748" width="16.5703125" bestFit="1" customWidth="1"/>
    <col min="15749" max="15749" width="12.7109375" bestFit="1" customWidth="1"/>
    <col min="15750" max="15750" width="12.7109375" customWidth="1"/>
    <col min="15751" max="15751" width="13.42578125" customWidth="1"/>
    <col min="15752" max="15752" width="12.7109375" customWidth="1"/>
    <col min="15753" max="15754" width="0" hidden="1" customWidth="1"/>
    <col min="15755" max="15755" width="68.7109375" bestFit="1" customWidth="1"/>
    <col min="15996" max="15996" width="37.140625" bestFit="1" customWidth="1"/>
    <col min="15997" max="15997" width="10.28515625" bestFit="1" customWidth="1"/>
    <col min="15998" max="15999" width="13.42578125" bestFit="1" customWidth="1"/>
    <col min="16000" max="16000" width="10.5703125" bestFit="1" customWidth="1"/>
    <col min="16001" max="16002" width="13.42578125" bestFit="1" customWidth="1"/>
    <col min="16003" max="16003" width="18.28515625" bestFit="1" customWidth="1"/>
    <col min="16004" max="16004" width="16.5703125" bestFit="1" customWidth="1"/>
    <col min="16005" max="16005" width="12.7109375" bestFit="1" customWidth="1"/>
    <col min="16006" max="16006" width="12.7109375" customWidth="1"/>
    <col min="16007" max="16007" width="13.42578125" customWidth="1"/>
    <col min="16008" max="16008" width="12.7109375" customWidth="1"/>
    <col min="16009" max="16010" width="0" hidden="1" customWidth="1"/>
    <col min="16011" max="16011" width="68.7109375" bestFit="1" customWidth="1"/>
  </cols>
  <sheetData>
    <row r="1" spans="1:14" s="90" customFormat="1" ht="33" customHeight="1" thickBot="1" x14ac:dyDescent="0.3">
      <c r="A1" s="89"/>
      <c r="B1" s="337" t="s">
        <v>0</v>
      </c>
      <c r="C1" s="338"/>
      <c r="D1" s="339"/>
      <c r="E1" s="340" t="s">
        <v>1</v>
      </c>
      <c r="F1" s="341"/>
      <c r="G1" s="342"/>
      <c r="H1" s="343" t="s">
        <v>2</v>
      </c>
      <c r="I1" s="344"/>
      <c r="J1" s="345"/>
      <c r="K1" s="346" t="s">
        <v>38</v>
      </c>
      <c r="L1" s="347"/>
      <c r="M1" s="348"/>
      <c r="N1" s="2"/>
    </row>
    <row r="2" spans="1:14" s="14" customFormat="1" ht="45.75" thickBot="1" x14ac:dyDescent="0.3">
      <c r="A2" s="91" t="s">
        <v>4</v>
      </c>
      <c r="B2" s="4" t="s">
        <v>5</v>
      </c>
      <c r="C2" s="5" t="s">
        <v>6</v>
      </c>
      <c r="D2" s="6" t="s">
        <v>7</v>
      </c>
      <c r="E2" s="92" t="s">
        <v>5</v>
      </c>
      <c r="F2" s="93" t="s">
        <v>6</v>
      </c>
      <c r="G2" s="6" t="s">
        <v>7</v>
      </c>
      <c r="H2" s="94" t="s">
        <v>39</v>
      </c>
      <c r="I2" s="10" t="s">
        <v>40</v>
      </c>
      <c r="J2" s="11" t="s">
        <v>10</v>
      </c>
      <c r="K2" s="95" t="s">
        <v>11</v>
      </c>
      <c r="L2" s="96" t="s">
        <v>12</v>
      </c>
      <c r="M2" s="97" t="s">
        <v>13</v>
      </c>
      <c r="N2" s="13" t="s">
        <v>15</v>
      </c>
    </row>
    <row r="3" spans="1:14" x14ac:dyDescent="0.25">
      <c r="A3" s="98" t="s">
        <v>42</v>
      </c>
      <c r="B3" s="16" t="s">
        <v>43</v>
      </c>
      <c r="C3" s="99" t="s">
        <v>44</v>
      </c>
      <c r="D3" s="108" t="s">
        <v>41</v>
      </c>
      <c r="E3" s="101" t="s">
        <v>45</v>
      </c>
      <c r="F3" s="20" t="s">
        <v>31</v>
      </c>
      <c r="G3" s="100" t="s">
        <v>41</v>
      </c>
      <c r="H3" s="102">
        <v>268423</v>
      </c>
      <c r="I3" s="23">
        <v>69841</v>
      </c>
      <c r="J3" s="24">
        <f>+I3+H3</f>
        <v>338264</v>
      </c>
      <c r="K3" s="103">
        <v>0</v>
      </c>
      <c r="L3" s="104">
        <f t="shared" ref="L3:L10" si="0">-J3</f>
        <v>-338264</v>
      </c>
      <c r="M3" s="105">
        <v>0</v>
      </c>
      <c r="N3" s="98" t="s">
        <v>46</v>
      </c>
    </row>
    <row r="4" spans="1:14" x14ac:dyDescent="0.25">
      <c r="A4" s="98" t="s">
        <v>47</v>
      </c>
      <c r="B4" s="16">
        <v>101763</v>
      </c>
      <c r="C4" s="99" t="s">
        <v>208</v>
      </c>
      <c r="D4" s="108" t="s">
        <v>41</v>
      </c>
      <c r="E4" s="101" t="str">
        <f>+E3</f>
        <v>OCUST419</v>
      </c>
      <c r="F4" s="20" t="s">
        <v>31</v>
      </c>
      <c r="G4" s="100" t="s">
        <v>41</v>
      </c>
      <c r="H4" s="102">
        <v>2412</v>
      </c>
      <c r="I4" s="23">
        <v>1236</v>
      </c>
      <c r="J4" s="24">
        <f>SUM(H4:I4)</f>
        <v>3648</v>
      </c>
      <c r="K4" s="103">
        <v>0</v>
      </c>
      <c r="L4" s="104">
        <f t="shared" si="0"/>
        <v>-3648</v>
      </c>
      <c r="M4" s="105">
        <v>0</v>
      </c>
      <c r="N4" s="98" t="s">
        <v>46</v>
      </c>
    </row>
    <row r="5" spans="1:14" x14ac:dyDescent="0.25">
      <c r="A5" s="98" t="s">
        <v>48</v>
      </c>
      <c r="B5" s="16">
        <v>123846</v>
      </c>
      <c r="C5" s="99" t="s">
        <v>208</v>
      </c>
      <c r="D5" s="108" t="s">
        <v>41</v>
      </c>
      <c r="E5" s="101">
        <f>B5</f>
        <v>123846</v>
      </c>
      <c r="F5" s="20" t="s">
        <v>208</v>
      </c>
      <c r="G5" s="100" t="s">
        <v>41</v>
      </c>
      <c r="H5" s="102">
        <v>677</v>
      </c>
      <c r="I5" s="23">
        <v>1021</v>
      </c>
      <c r="J5" s="24">
        <f>+H5+I5</f>
        <v>1698</v>
      </c>
      <c r="K5" s="103">
        <v>0</v>
      </c>
      <c r="L5" s="104">
        <f t="shared" si="0"/>
        <v>-1698</v>
      </c>
      <c r="M5" s="105">
        <v>0</v>
      </c>
      <c r="N5" s="98" t="s">
        <v>46</v>
      </c>
    </row>
    <row r="6" spans="1:14" x14ac:dyDescent="0.25">
      <c r="A6" s="98" t="s">
        <v>49</v>
      </c>
      <c r="B6" s="16">
        <v>101764</v>
      </c>
      <c r="C6" s="99" t="s">
        <v>208</v>
      </c>
      <c r="D6" s="108" t="s">
        <v>41</v>
      </c>
      <c r="E6" s="101">
        <v>101764</v>
      </c>
      <c r="F6" s="20" t="s">
        <v>208</v>
      </c>
      <c r="G6" s="100" t="s">
        <v>41</v>
      </c>
      <c r="H6" s="102">
        <v>8627</v>
      </c>
      <c r="I6" s="23">
        <v>2358</v>
      </c>
      <c r="J6" s="24">
        <f>+H6+I6</f>
        <v>10985</v>
      </c>
      <c r="K6" s="103">
        <v>0</v>
      </c>
      <c r="L6" s="104">
        <f t="shared" si="0"/>
        <v>-10985</v>
      </c>
      <c r="M6" s="105">
        <v>0</v>
      </c>
      <c r="N6" s="98" t="s">
        <v>46</v>
      </c>
    </row>
    <row r="7" spans="1:14" ht="30" x14ac:dyDescent="0.25">
      <c r="A7" s="39" t="s">
        <v>50</v>
      </c>
      <c r="B7" s="106" t="s">
        <v>43</v>
      </c>
      <c r="C7" s="107" t="s">
        <v>51</v>
      </c>
      <c r="D7" s="108" t="s">
        <v>41</v>
      </c>
      <c r="E7" s="106" t="s">
        <v>45</v>
      </c>
      <c r="F7" s="109" t="s">
        <v>31</v>
      </c>
      <c r="G7" s="100" t="s">
        <v>41</v>
      </c>
      <c r="H7" s="34">
        <v>133648</v>
      </c>
      <c r="I7" s="110">
        <v>42806</v>
      </c>
      <c r="J7" s="61">
        <f t="shared" ref="J7:J33" si="1">+I7+H7</f>
        <v>176454</v>
      </c>
      <c r="K7" s="111">
        <v>0</v>
      </c>
      <c r="L7" s="104">
        <f t="shared" si="0"/>
        <v>-176454</v>
      </c>
      <c r="M7" s="113">
        <v>0</v>
      </c>
      <c r="N7" s="39" t="s">
        <v>52</v>
      </c>
    </row>
    <row r="8" spans="1:14" x14ac:dyDescent="0.25">
      <c r="A8" s="39" t="s">
        <v>53</v>
      </c>
      <c r="B8" s="106" t="s">
        <v>54</v>
      </c>
      <c r="C8" s="107" t="s">
        <v>51</v>
      </c>
      <c r="D8" s="108" t="s">
        <v>41</v>
      </c>
      <c r="E8" s="106" t="s">
        <v>55</v>
      </c>
      <c r="F8" s="109" t="s">
        <v>31</v>
      </c>
      <c r="G8" s="100" t="s">
        <v>41</v>
      </c>
      <c r="H8" s="34">
        <v>1057</v>
      </c>
      <c r="I8" s="110">
        <v>0</v>
      </c>
      <c r="J8" s="61">
        <f t="shared" si="1"/>
        <v>1057</v>
      </c>
      <c r="K8" s="111">
        <v>0</v>
      </c>
      <c r="L8" s="104">
        <f t="shared" si="0"/>
        <v>-1057</v>
      </c>
      <c r="M8" s="113">
        <v>0</v>
      </c>
      <c r="N8" s="39"/>
    </row>
    <row r="9" spans="1:14" x14ac:dyDescent="0.25">
      <c r="A9" s="39" t="s">
        <v>56</v>
      </c>
      <c r="B9" s="106">
        <v>124844</v>
      </c>
      <c r="C9" s="107" t="s">
        <v>51</v>
      </c>
      <c r="D9" s="108" t="s">
        <v>41</v>
      </c>
      <c r="E9" s="106">
        <v>123844</v>
      </c>
      <c r="F9" s="109" t="s">
        <v>51</v>
      </c>
      <c r="G9" s="100" t="s">
        <v>41</v>
      </c>
      <c r="H9" s="34">
        <v>6863</v>
      </c>
      <c r="I9" s="110">
        <v>0</v>
      </c>
      <c r="J9" s="61">
        <f>+I9+H9</f>
        <v>6863</v>
      </c>
      <c r="K9" s="111">
        <v>0</v>
      </c>
      <c r="L9" s="104">
        <f t="shared" si="0"/>
        <v>-6863</v>
      </c>
      <c r="M9" s="113">
        <v>0</v>
      </c>
      <c r="N9" s="39"/>
    </row>
    <row r="10" spans="1:14" x14ac:dyDescent="0.25">
      <c r="A10" s="39" t="s">
        <v>57</v>
      </c>
      <c r="B10" s="106">
        <v>101762</v>
      </c>
      <c r="C10" s="107" t="s">
        <v>51</v>
      </c>
      <c r="D10" s="108" t="s">
        <v>41</v>
      </c>
      <c r="E10" s="106">
        <v>101762</v>
      </c>
      <c r="F10" s="109" t="s">
        <v>51</v>
      </c>
      <c r="G10" s="100" t="s">
        <v>41</v>
      </c>
      <c r="H10" s="34">
        <v>2205</v>
      </c>
      <c r="I10" s="110">
        <v>247</v>
      </c>
      <c r="J10" s="61">
        <f>+I10+H10</f>
        <v>2452</v>
      </c>
      <c r="K10" s="111">
        <v>0</v>
      </c>
      <c r="L10" s="104">
        <f t="shared" si="0"/>
        <v>-2452</v>
      </c>
      <c r="M10" s="113">
        <v>0</v>
      </c>
      <c r="N10" s="39"/>
    </row>
    <row r="11" spans="1:14" x14ac:dyDescent="0.25">
      <c r="A11" s="39" t="s">
        <v>58</v>
      </c>
      <c r="B11" s="106" t="s">
        <v>43</v>
      </c>
      <c r="C11" s="107" t="s">
        <v>59</v>
      </c>
      <c r="D11" s="108" t="s">
        <v>41</v>
      </c>
      <c r="E11" s="106" t="s">
        <v>45</v>
      </c>
      <c r="F11" s="109" t="s">
        <v>31</v>
      </c>
      <c r="G11" s="100" t="s">
        <v>41</v>
      </c>
      <c r="H11" s="34">
        <v>54078</v>
      </c>
      <c r="I11" s="110">
        <v>14032</v>
      </c>
      <c r="J11" s="61">
        <f t="shared" si="1"/>
        <v>68110</v>
      </c>
      <c r="K11" s="111">
        <v>0</v>
      </c>
      <c r="L11" s="112">
        <f>0.5*-J11</f>
        <v>-34055</v>
      </c>
      <c r="M11" s="113">
        <v>0</v>
      </c>
      <c r="N11" s="39" t="s">
        <v>60</v>
      </c>
    </row>
    <row r="12" spans="1:14" x14ac:dyDescent="0.25">
      <c r="A12" s="39" t="s">
        <v>61</v>
      </c>
      <c r="B12" s="106">
        <v>124598</v>
      </c>
      <c r="C12" s="107" t="s">
        <v>209</v>
      </c>
      <c r="D12" s="108" t="s">
        <v>41</v>
      </c>
      <c r="E12" s="106">
        <v>124598</v>
      </c>
      <c r="F12" s="109" t="s">
        <v>209</v>
      </c>
      <c r="G12" s="100" t="s">
        <v>41</v>
      </c>
      <c r="H12" s="34">
        <v>1320</v>
      </c>
      <c r="I12" s="110">
        <v>647</v>
      </c>
      <c r="J12" s="61">
        <f>+H12+I12</f>
        <v>1967</v>
      </c>
      <c r="K12" s="111">
        <v>0</v>
      </c>
      <c r="L12" s="104">
        <f>-J12</f>
        <v>-1967</v>
      </c>
      <c r="M12" s="113">
        <v>0</v>
      </c>
      <c r="N12" s="39"/>
    </row>
    <row r="13" spans="1:14" ht="30" x14ac:dyDescent="0.25">
      <c r="A13" s="39" t="s">
        <v>62</v>
      </c>
      <c r="B13" s="106" t="s">
        <v>43</v>
      </c>
      <c r="C13" s="107" t="s">
        <v>63</v>
      </c>
      <c r="D13" s="108" t="s">
        <v>41</v>
      </c>
      <c r="E13" s="106" t="s">
        <v>45</v>
      </c>
      <c r="F13" s="109" t="s">
        <v>31</v>
      </c>
      <c r="G13" s="100" t="s">
        <v>41</v>
      </c>
      <c r="H13" s="34">
        <v>63125</v>
      </c>
      <c r="I13" s="110">
        <v>23754</v>
      </c>
      <c r="J13" s="61">
        <f t="shared" si="1"/>
        <v>86879</v>
      </c>
      <c r="K13" s="111">
        <v>0</v>
      </c>
      <c r="L13" s="112">
        <f>0.5*-J13</f>
        <v>-43439.5</v>
      </c>
      <c r="M13" s="113">
        <v>0</v>
      </c>
      <c r="N13" s="114" t="s">
        <v>64</v>
      </c>
    </row>
    <row r="14" spans="1:14" ht="30" x14ac:dyDescent="0.25">
      <c r="A14" s="39" t="s">
        <v>65</v>
      </c>
      <c r="B14" s="106" t="s">
        <v>43</v>
      </c>
      <c r="C14" s="107" t="s">
        <v>66</v>
      </c>
      <c r="D14" s="108" t="s">
        <v>41</v>
      </c>
      <c r="E14" s="106" t="s">
        <v>45</v>
      </c>
      <c r="F14" s="109" t="s">
        <v>31</v>
      </c>
      <c r="G14" s="100" t="s">
        <v>41</v>
      </c>
      <c r="H14" s="34">
        <v>188799</v>
      </c>
      <c r="I14" s="110">
        <v>57261</v>
      </c>
      <c r="J14" s="61">
        <f t="shared" si="1"/>
        <v>246060</v>
      </c>
      <c r="K14" s="111">
        <v>0</v>
      </c>
      <c r="L14" s="112">
        <f>0.5*-J14</f>
        <v>-123030</v>
      </c>
      <c r="M14" s="113">
        <v>0</v>
      </c>
      <c r="N14" s="114" t="s">
        <v>67</v>
      </c>
    </row>
    <row r="15" spans="1:14" ht="30" x14ac:dyDescent="0.25">
      <c r="A15" s="39" t="s">
        <v>68</v>
      </c>
      <c r="B15" s="106">
        <v>123840</v>
      </c>
      <c r="C15" s="107" t="s">
        <v>72</v>
      </c>
      <c r="D15" s="108" t="s">
        <v>41</v>
      </c>
      <c r="E15" s="106">
        <v>123840</v>
      </c>
      <c r="F15" s="109" t="s">
        <v>72</v>
      </c>
      <c r="G15" s="100" t="s">
        <v>41</v>
      </c>
      <c r="H15" s="34">
        <v>13785</v>
      </c>
      <c r="I15" s="110">
        <v>4507</v>
      </c>
      <c r="J15" s="61">
        <f>+I15+H15</f>
        <v>18292</v>
      </c>
      <c r="K15" s="111">
        <v>0</v>
      </c>
      <c r="L15" s="112">
        <f>0.5*-J15</f>
        <v>-9146</v>
      </c>
      <c r="M15" s="113">
        <v>0</v>
      </c>
      <c r="N15" s="114" t="s">
        <v>69</v>
      </c>
    </row>
    <row r="16" spans="1:14" ht="30" x14ac:dyDescent="0.25">
      <c r="A16" s="39" t="s">
        <v>70</v>
      </c>
      <c r="B16" s="106" t="s">
        <v>71</v>
      </c>
      <c r="C16" s="107" t="s">
        <v>72</v>
      </c>
      <c r="D16" s="108" t="s">
        <v>41</v>
      </c>
      <c r="E16" s="106" t="s">
        <v>55</v>
      </c>
      <c r="F16" s="109" t="s">
        <v>31</v>
      </c>
      <c r="G16" s="100" t="s">
        <v>41</v>
      </c>
      <c r="H16" s="34">
        <v>2048</v>
      </c>
      <c r="I16" s="110">
        <v>427</v>
      </c>
      <c r="J16" s="61">
        <f t="shared" si="1"/>
        <v>2475</v>
      </c>
      <c r="K16" s="111">
        <v>0</v>
      </c>
      <c r="L16" s="112">
        <f>-J16*0.5</f>
        <v>-1237.5</v>
      </c>
      <c r="M16" s="113">
        <v>0</v>
      </c>
      <c r="N16" s="114" t="s">
        <v>67</v>
      </c>
    </row>
    <row r="17" spans="1:14" s="116" customFormat="1" x14ac:dyDescent="0.25">
      <c r="A17" s="39" t="s">
        <v>73</v>
      </c>
      <c r="B17" s="106" t="s">
        <v>74</v>
      </c>
      <c r="C17" s="107" t="s">
        <v>75</v>
      </c>
      <c r="D17" s="108" t="s">
        <v>41</v>
      </c>
      <c r="E17" s="106" t="s">
        <v>76</v>
      </c>
      <c r="F17" s="109" t="s">
        <v>31</v>
      </c>
      <c r="G17" s="100" t="s">
        <v>41</v>
      </c>
      <c r="H17" s="34">
        <v>356233</v>
      </c>
      <c r="I17" s="110">
        <v>182883</v>
      </c>
      <c r="J17" s="61">
        <f t="shared" si="1"/>
        <v>539116</v>
      </c>
      <c r="K17" s="111">
        <f>0.2*-J17</f>
        <v>-107823.20000000001</v>
      </c>
      <c r="L17" s="115">
        <v>0</v>
      </c>
      <c r="M17" s="113">
        <v>0</v>
      </c>
      <c r="N17" s="114" t="s">
        <v>77</v>
      </c>
    </row>
    <row r="18" spans="1:14" s="116" customFormat="1" ht="30" x14ac:dyDescent="0.25">
      <c r="A18" s="39" t="s">
        <v>78</v>
      </c>
      <c r="B18" s="106" t="s">
        <v>74</v>
      </c>
      <c r="C18" s="107" t="s">
        <v>79</v>
      </c>
      <c r="D18" s="108" t="s">
        <v>41</v>
      </c>
      <c r="E18" s="106" t="s">
        <v>76</v>
      </c>
      <c r="F18" s="109" t="s">
        <v>31</v>
      </c>
      <c r="G18" s="100" t="s">
        <v>41</v>
      </c>
      <c r="H18" s="34">
        <v>45459</v>
      </c>
      <c r="I18" s="110">
        <v>12321</v>
      </c>
      <c r="J18" s="61">
        <f t="shared" si="1"/>
        <v>57780</v>
      </c>
      <c r="K18" s="111">
        <f>-J18</f>
        <v>-57780</v>
      </c>
      <c r="L18" s="115">
        <v>0</v>
      </c>
      <c r="M18" s="113">
        <v>0</v>
      </c>
      <c r="N18" s="114" t="s">
        <v>80</v>
      </c>
    </row>
    <row r="19" spans="1:14" s="116" customFormat="1" x14ac:dyDescent="0.25">
      <c r="A19" s="39" t="s">
        <v>81</v>
      </c>
      <c r="B19" s="106" t="s">
        <v>74</v>
      </c>
      <c r="C19" s="107" t="s">
        <v>82</v>
      </c>
      <c r="D19" s="108" t="s">
        <v>41</v>
      </c>
      <c r="E19" s="106" t="s">
        <v>76</v>
      </c>
      <c r="F19" s="109" t="s">
        <v>31</v>
      </c>
      <c r="G19" s="100" t="s">
        <v>41</v>
      </c>
      <c r="H19" s="34">
        <v>144514</v>
      </c>
      <c r="I19" s="110">
        <v>85522</v>
      </c>
      <c r="J19" s="61">
        <f t="shared" si="1"/>
        <v>230036</v>
      </c>
      <c r="K19" s="111">
        <f>0.1*-J19</f>
        <v>-23003.600000000002</v>
      </c>
      <c r="L19" s="115">
        <v>0</v>
      </c>
      <c r="M19" s="113">
        <v>0</v>
      </c>
      <c r="N19" s="114" t="s">
        <v>83</v>
      </c>
    </row>
    <row r="20" spans="1:14" s="116" customFormat="1" x14ac:dyDescent="0.25">
      <c r="A20" s="39" t="s">
        <v>84</v>
      </c>
      <c r="B20" s="106">
        <v>101498</v>
      </c>
      <c r="C20" s="107" t="s">
        <v>210</v>
      </c>
      <c r="D20" s="108" t="s">
        <v>41</v>
      </c>
      <c r="E20" s="106" t="s">
        <v>85</v>
      </c>
      <c r="F20" s="109" t="s">
        <v>31</v>
      </c>
      <c r="G20" s="100" t="s">
        <v>41</v>
      </c>
      <c r="H20" s="34">
        <v>1219</v>
      </c>
      <c r="I20" s="110">
        <v>0</v>
      </c>
      <c r="J20" s="61">
        <f t="shared" si="1"/>
        <v>1219</v>
      </c>
      <c r="K20" s="111">
        <f>0.1*-J20</f>
        <v>-121.9</v>
      </c>
      <c r="L20" s="115">
        <v>0</v>
      </c>
      <c r="M20" s="113">
        <v>0</v>
      </c>
      <c r="N20" s="114" t="s">
        <v>83</v>
      </c>
    </row>
    <row r="21" spans="1:14" s="116" customFormat="1" x14ac:dyDescent="0.25">
      <c r="A21" s="39" t="s">
        <v>86</v>
      </c>
      <c r="B21" s="106">
        <v>101497</v>
      </c>
      <c r="C21" s="107" t="s">
        <v>210</v>
      </c>
      <c r="D21" s="108" t="s">
        <v>41</v>
      </c>
      <c r="E21" s="106">
        <v>101497</v>
      </c>
      <c r="F21" s="109" t="s">
        <v>210</v>
      </c>
      <c r="G21" s="100" t="s">
        <v>41</v>
      </c>
      <c r="H21" s="34">
        <v>11194</v>
      </c>
      <c r="I21" s="110">
        <v>5055</v>
      </c>
      <c r="J21" s="61">
        <f>+I21+H21</f>
        <v>16249</v>
      </c>
      <c r="K21" s="111">
        <f>0.1*-J21</f>
        <v>-1624.9</v>
      </c>
      <c r="L21" s="115">
        <v>0</v>
      </c>
      <c r="M21" s="113">
        <v>0</v>
      </c>
      <c r="N21" s="114" t="s">
        <v>83</v>
      </c>
    </row>
    <row r="22" spans="1:14" s="116" customFormat="1" x14ac:dyDescent="0.25">
      <c r="A22" s="39" t="s">
        <v>87</v>
      </c>
      <c r="B22" s="106" t="s">
        <v>88</v>
      </c>
      <c r="C22" s="107" t="s">
        <v>89</v>
      </c>
      <c r="D22" s="108" t="s">
        <v>41</v>
      </c>
      <c r="E22" s="106" t="s">
        <v>90</v>
      </c>
      <c r="F22" s="109" t="s">
        <v>31</v>
      </c>
      <c r="G22" s="100" t="s">
        <v>41</v>
      </c>
      <c r="H22" s="34">
        <v>31715</v>
      </c>
      <c r="I22" s="110">
        <v>4887</v>
      </c>
      <c r="J22" s="61">
        <f t="shared" si="1"/>
        <v>36602</v>
      </c>
      <c r="K22" s="111">
        <f>-J22*0.8</f>
        <v>-29281.600000000002</v>
      </c>
      <c r="L22" s="115">
        <v>0</v>
      </c>
      <c r="M22" s="113">
        <v>0</v>
      </c>
      <c r="N22" s="114" t="s">
        <v>91</v>
      </c>
    </row>
    <row r="23" spans="1:14" s="116" customFormat="1" x14ac:dyDescent="0.25">
      <c r="A23" s="39" t="s">
        <v>105</v>
      </c>
      <c r="B23" s="106" t="s">
        <v>88</v>
      </c>
      <c r="C23" s="107" t="s">
        <v>92</v>
      </c>
      <c r="D23" s="108" t="s">
        <v>41</v>
      </c>
      <c r="E23" s="106" t="s">
        <v>90</v>
      </c>
      <c r="F23" s="109" t="s">
        <v>31</v>
      </c>
      <c r="G23" s="100" t="s">
        <v>41</v>
      </c>
      <c r="H23" s="34">
        <v>40941</v>
      </c>
      <c r="I23" s="110">
        <v>12642</v>
      </c>
      <c r="J23" s="61">
        <f t="shared" si="1"/>
        <v>53583</v>
      </c>
      <c r="K23" s="111">
        <v>0</v>
      </c>
      <c r="L23" s="115">
        <f>-J23</f>
        <v>-53583</v>
      </c>
      <c r="M23" s="113">
        <v>0</v>
      </c>
      <c r="N23" s="114" t="s">
        <v>46</v>
      </c>
    </row>
    <row r="24" spans="1:14" s="116" customFormat="1" x14ac:dyDescent="0.25">
      <c r="A24" s="39" t="s">
        <v>104</v>
      </c>
      <c r="B24" s="106">
        <v>124928</v>
      </c>
      <c r="C24" s="107" t="s">
        <v>93</v>
      </c>
      <c r="D24" s="108" t="s">
        <v>41</v>
      </c>
      <c r="E24" s="106">
        <v>124928</v>
      </c>
      <c r="F24" s="109" t="s">
        <v>93</v>
      </c>
      <c r="G24" s="100" t="s">
        <v>41</v>
      </c>
      <c r="H24" s="34">
        <v>142245</v>
      </c>
      <c r="I24" s="110">
        <v>64</v>
      </c>
      <c r="J24" s="61">
        <f t="shared" si="1"/>
        <v>142309</v>
      </c>
      <c r="K24" s="111">
        <v>0</v>
      </c>
      <c r="L24" s="115">
        <v>0</v>
      </c>
      <c r="M24" s="113">
        <f>-J24</f>
        <v>-142309</v>
      </c>
      <c r="N24" s="39" t="s">
        <v>207</v>
      </c>
    </row>
    <row r="25" spans="1:14" s="116" customFormat="1" x14ac:dyDescent="0.25">
      <c r="A25" s="41" t="s">
        <v>28</v>
      </c>
      <c r="B25" s="117"/>
      <c r="C25" s="118"/>
      <c r="D25" s="119"/>
      <c r="E25" s="117"/>
      <c r="F25" s="120"/>
      <c r="G25" s="119"/>
      <c r="H25" s="121"/>
      <c r="I25" s="122"/>
      <c r="J25" s="123"/>
      <c r="K25" s="124"/>
      <c r="L25" s="125"/>
      <c r="M25" s="126"/>
      <c r="N25" s="127"/>
    </row>
    <row r="26" spans="1:14" s="116" customFormat="1" x14ac:dyDescent="0.25">
      <c r="A26" s="39" t="s">
        <v>94</v>
      </c>
      <c r="B26" s="106" t="s">
        <v>30</v>
      </c>
      <c r="C26" s="107" t="s">
        <v>30</v>
      </c>
      <c r="D26" s="108" t="s">
        <v>30</v>
      </c>
      <c r="E26" s="106" t="s">
        <v>31</v>
      </c>
      <c r="F26" s="109" t="s">
        <v>31</v>
      </c>
      <c r="G26" s="108" t="s">
        <v>41</v>
      </c>
      <c r="H26" s="128">
        <v>0</v>
      </c>
      <c r="I26" s="110">
        <v>0</v>
      </c>
      <c r="J26" s="61">
        <f t="shared" si="1"/>
        <v>0</v>
      </c>
      <c r="K26" s="111">
        <v>0</v>
      </c>
      <c r="L26" s="115">
        <v>115437</v>
      </c>
      <c r="M26" s="113">
        <v>0</v>
      </c>
      <c r="N26" s="39" t="s">
        <v>95</v>
      </c>
    </row>
    <row r="27" spans="1:14" s="116" customFormat="1" x14ac:dyDescent="0.25">
      <c r="A27" s="39" t="s">
        <v>96</v>
      </c>
      <c r="B27" s="106" t="s">
        <v>30</v>
      </c>
      <c r="C27" s="107" t="s">
        <v>30</v>
      </c>
      <c r="D27" s="108" t="s">
        <v>30</v>
      </c>
      <c r="E27" s="106" t="s">
        <v>31</v>
      </c>
      <c r="F27" s="109" t="s">
        <v>31</v>
      </c>
      <c r="G27" s="108" t="s">
        <v>41</v>
      </c>
      <c r="H27" s="128">
        <v>0</v>
      </c>
      <c r="I27" s="110">
        <v>0</v>
      </c>
      <c r="J27" s="61">
        <f t="shared" si="1"/>
        <v>0</v>
      </c>
      <c r="K27" s="111">
        <v>0</v>
      </c>
      <c r="L27" s="115">
        <v>1259020</v>
      </c>
      <c r="M27" s="113">
        <v>0</v>
      </c>
      <c r="N27" s="39" t="s">
        <v>95</v>
      </c>
    </row>
    <row r="28" spans="1:14" s="116" customFormat="1" x14ac:dyDescent="0.25">
      <c r="A28" s="39" t="s">
        <v>97</v>
      </c>
      <c r="B28" s="106" t="s">
        <v>30</v>
      </c>
      <c r="C28" s="107" t="s">
        <v>30</v>
      </c>
      <c r="D28" s="108" t="s">
        <v>30</v>
      </c>
      <c r="E28" s="106" t="s">
        <v>31</v>
      </c>
      <c r="F28" s="109" t="s">
        <v>31</v>
      </c>
      <c r="G28" s="108" t="s">
        <v>41</v>
      </c>
      <c r="H28" s="128">
        <v>0</v>
      </c>
      <c r="I28" s="110">
        <v>0</v>
      </c>
      <c r="J28" s="61">
        <f t="shared" si="1"/>
        <v>0</v>
      </c>
      <c r="K28" s="111">
        <v>0</v>
      </c>
      <c r="L28" s="115">
        <v>47800</v>
      </c>
      <c r="M28" s="113">
        <v>0</v>
      </c>
      <c r="N28" s="39" t="s">
        <v>95</v>
      </c>
    </row>
    <row r="29" spans="1:14" s="116" customFormat="1" x14ac:dyDescent="0.25">
      <c r="A29" s="39" t="s">
        <v>98</v>
      </c>
      <c r="B29" s="106" t="s">
        <v>30</v>
      </c>
      <c r="C29" s="107" t="s">
        <v>30</v>
      </c>
      <c r="D29" s="108" t="s">
        <v>30</v>
      </c>
      <c r="E29" s="106" t="s">
        <v>31</v>
      </c>
      <c r="F29" s="109" t="s">
        <v>31</v>
      </c>
      <c r="G29" s="108" t="s">
        <v>41</v>
      </c>
      <c r="H29" s="128">
        <v>0</v>
      </c>
      <c r="I29" s="110">
        <v>0</v>
      </c>
      <c r="J29" s="61">
        <f>+I29+H29</f>
        <v>0</v>
      </c>
      <c r="K29" s="111">
        <v>0</v>
      </c>
      <c r="L29" s="115">
        <v>87143</v>
      </c>
      <c r="M29" s="113">
        <v>0</v>
      </c>
      <c r="N29" s="39" t="s">
        <v>95</v>
      </c>
    </row>
    <row r="30" spans="1:14" s="116" customFormat="1" x14ac:dyDescent="0.25">
      <c r="A30" s="39" t="s">
        <v>99</v>
      </c>
      <c r="B30" s="106" t="s">
        <v>30</v>
      </c>
      <c r="C30" s="107" t="s">
        <v>30</v>
      </c>
      <c r="D30" s="108" t="s">
        <v>30</v>
      </c>
      <c r="E30" s="106" t="s">
        <v>31</v>
      </c>
      <c r="F30" s="109" t="s">
        <v>31</v>
      </c>
      <c r="G30" s="108" t="s">
        <v>41</v>
      </c>
      <c r="H30" s="128">
        <v>0</v>
      </c>
      <c r="I30" s="110">
        <v>0</v>
      </c>
      <c r="J30" s="61">
        <f t="shared" si="1"/>
        <v>0</v>
      </c>
      <c r="K30" s="111">
        <v>0</v>
      </c>
      <c r="L30" s="115">
        <v>82967</v>
      </c>
      <c r="M30" s="113">
        <v>0</v>
      </c>
      <c r="N30" s="39" t="s">
        <v>95</v>
      </c>
    </row>
    <row r="31" spans="1:14" s="116" customFormat="1" x14ac:dyDescent="0.25">
      <c r="A31" s="39" t="s">
        <v>100</v>
      </c>
      <c r="B31" s="106" t="s">
        <v>30</v>
      </c>
      <c r="C31" s="107" t="s">
        <v>30</v>
      </c>
      <c r="D31" s="108" t="s">
        <v>30</v>
      </c>
      <c r="E31" s="106" t="s">
        <v>31</v>
      </c>
      <c r="F31" s="109" t="s">
        <v>31</v>
      </c>
      <c r="G31" s="108" t="s">
        <v>41</v>
      </c>
      <c r="H31" s="128">
        <v>0</v>
      </c>
      <c r="I31" s="110">
        <v>0</v>
      </c>
      <c r="J31" s="61">
        <f t="shared" si="1"/>
        <v>0</v>
      </c>
      <c r="K31" s="111">
        <v>0</v>
      </c>
      <c r="L31" s="115">
        <v>284116</v>
      </c>
      <c r="M31" s="113">
        <v>0</v>
      </c>
      <c r="N31" s="39" t="s">
        <v>95</v>
      </c>
    </row>
    <row r="32" spans="1:14" s="116" customFormat="1" x14ac:dyDescent="0.25">
      <c r="A32" s="39" t="s">
        <v>101</v>
      </c>
      <c r="B32" s="106" t="s">
        <v>30</v>
      </c>
      <c r="C32" s="107" t="s">
        <v>30</v>
      </c>
      <c r="D32" s="108" t="s">
        <v>30</v>
      </c>
      <c r="E32" s="106" t="s">
        <v>31</v>
      </c>
      <c r="F32" s="109" t="s">
        <v>31</v>
      </c>
      <c r="G32" s="108" t="s">
        <v>41</v>
      </c>
      <c r="H32" s="128">
        <v>0</v>
      </c>
      <c r="I32" s="110">
        <v>0</v>
      </c>
      <c r="J32" s="61">
        <f t="shared" si="1"/>
        <v>0</v>
      </c>
      <c r="K32" s="111">
        <v>0</v>
      </c>
      <c r="L32" s="115">
        <v>4771</v>
      </c>
      <c r="M32" s="113">
        <v>0</v>
      </c>
      <c r="N32" s="39" t="s">
        <v>95</v>
      </c>
    </row>
    <row r="33" spans="1:14" s="116" customFormat="1" x14ac:dyDescent="0.25">
      <c r="A33" s="65" t="s">
        <v>102</v>
      </c>
      <c r="B33" s="57" t="s">
        <v>30</v>
      </c>
      <c r="C33" s="129" t="s">
        <v>30</v>
      </c>
      <c r="D33" s="21" t="s">
        <v>30</v>
      </c>
      <c r="E33" s="57" t="s">
        <v>31</v>
      </c>
      <c r="F33" s="58" t="s">
        <v>31</v>
      </c>
      <c r="G33" s="21" t="s">
        <v>41</v>
      </c>
      <c r="H33" s="59">
        <v>0</v>
      </c>
      <c r="I33" s="60">
        <v>0</v>
      </c>
      <c r="J33" s="67">
        <f t="shared" si="1"/>
        <v>0</v>
      </c>
      <c r="K33" s="130">
        <v>0</v>
      </c>
      <c r="L33" s="115">
        <v>220604</v>
      </c>
      <c r="M33" s="131">
        <v>0</v>
      </c>
      <c r="N33" s="39" t="s">
        <v>95</v>
      </c>
    </row>
    <row r="34" spans="1:14" s="116" customFormat="1" ht="30" x14ac:dyDescent="0.25">
      <c r="A34" s="65" t="s">
        <v>107</v>
      </c>
      <c r="B34" s="57" t="s">
        <v>30</v>
      </c>
      <c r="C34" s="129" t="s">
        <v>30</v>
      </c>
      <c r="D34" s="21" t="s">
        <v>30</v>
      </c>
      <c r="E34" s="57" t="s">
        <v>31</v>
      </c>
      <c r="F34" s="58" t="s">
        <v>31</v>
      </c>
      <c r="G34" s="21" t="s">
        <v>41</v>
      </c>
      <c r="H34" s="59">
        <v>0</v>
      </c>
      <c r="I34" s="60">
        <v>0</v>
      </c>
      <c r="J34" s="67">
        <f>+I34+H34</f>
        <v>0</v>
      </c>
      <c r="K34" s="130">
        <v>0</v>
      </c>
      <c r="L34" s="115">
        <v>0</v>
      </c>
      <c r="M34" s="131">
        <v>2091757</v>
      </c>
      <c r="N34" s="65" t="s">
        <v>103</v>
      </c>
    </row>
    <row r="35" spans="1:14" s="116" customFormat="1" ht="30.75" thickBot="1" x14ac:dyDescent="0.3">
      <c r="A35" s="65" t="s">
        <v>106</v>
      </c>
      <c r="B35" s="57" t="s">
        <v>30</v>
      </c>
      <c r="C35" s="129" t="s">
        <v>30</v>
      </c>
      <c r="D35" s="21" t="s">
        <v>30</v>
      </c>
      <c r="E35" s="57" t="s">
        <v>31</v>
      </c>
      <c r="F35" s="58" t="s">
        <v>31</v>
      </c>
      <c r="G35" s="21" t="s">
        <v>41</v>
      </c>
      <c r="H35" s="59">
        <v>0</v>
      </c>
      <c r="I35" s="60">
        <v>0</v>
      </c>
      <c r="J35" s="67">
        <f>+I35+H35</f>
        <v>0</v>
      </c>
      <c r="K35" s="132">
        <v>0</v>
      </c>
      <c r="L35" s="133">
        <v>0</v>
      </c>
      <c r="M35" s="134">
        <v>903458</v>
      </c>
      <c r="N35" s="65" t="s">
        <v>206</v>
      </c>
    </row>
    <row r="36" spans="1:14" ht="15.75" thickBot="1" x14ac:dyDescent="0.3">
      <c r="A36" s="135"/>
      <c r="B36" s="136"/>
      <c r="C36" s="137"/>
      <c r="D36" s="138"/>
      <c r="E36" s="136"/>
      <c r="F36" s="137"/>
      <c r="G36" s="138"/>
      <c r="H36" s="139">
        <f t="shared" ref="H36:M36" si="2">SUM(H3:H35)</f>
        <v>1520587</v>
      </c>
      <c r="I36" s="139">
        <f t="shared" si="2"/>
        <v>521511</v>
      </c>
      <c r="J36" s="139">
        <f t="shared" si="2"/>
        <v>2042098</v>
      </c>
      <c r="K36" s="140">
        <f t="shared" si="2"/>
        <v>-219635.20000000001</v>
      </c>
      <c r="L36" s="140">
        <f>SUM(L3:L35)</f>
        <v>1293979</v>
      </c>
      <c r="M36" s="140">
        <f t="shared" si="2"/>
        <v>2852906</v>
      </c>
      <c r="N36" s="141"/>
    </row>
    <row r="37" spans="1:14" x14ac:dyDescent="0.25">
      <c r="M37" s="143"/>
    </row>
  </sheetData>
  <mergeCells count="4">
    <mergeCell ref="B1:D1"/>
    <mergeCell ref="E1:G1"/>
    <mergeCell ref="H1:J1"/>
    <mergeCell ref="K1:M1"/>
  </mergeCells>
  <pageMargins left="0.7" right="0.7" top="0.75" bottom="0.75" header="0.3" footer="0.3"/>
  <pageSetup scale="45" fitToHeight="2" orientation="landscape" r:id="rId1"/>
  <headerFooter>
    <oddFooter>&amp;R&amp;"Times New Roman,Bold"&amp;12Attachment to Response to LGE AG Question No. 355
Page 4 of 5
Thomas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34"/>
  <sheetViews>
    <sheetView view="pageLayout" topLeftCell="E1" zoomScaleNormal="75" workbookViewId="0">
      <selection activeCell="K12" sqref="K12"/>
    </sheetView>
  </sheetViews>
  <sheetFormatPr defaultColWidth="18" defaultRowHeight="15" x14ac:dyDescent="0.25"/>
  <cols>
    <col min="1" max="1" width="31" bestFit="1" customWidth="1"/>
    <col min="2" max="2" width="11" style="78" bestFit="1" customWidth="1"/>
    <col min="3" max="3" width="15.42578125" style="78" bestFit="1" customWidth="1"/>
    <col min="4" max="4" width="13.28515625" style="78" bestFit="1" customWidth="1"/>
    <col min="5" max="5" width="10.28515625" style="78" bestFit="1" customWidth="1"/>
    <col min="6" max="6" width="15.7109375" style="78" customWidth="1"/>
    <col min="7" max="7" width="13.28515625" style="78" bestFit="1" customWidth="1"/>
    <col min="8" max="8" width="17.85546875" style="79" bestFit="1" customWidth="1"/>
    <col min="9" max="9" width="15.85546875" style="79" bestFit="1" customWidth="1"/>
    <col min="10" max="10" width="12.7109375" style="80" bestFit="1" customWidth="1"/>
    <col min="11" max="11" width="15.28515625" style="81" bestFit="1" customWidth="1"/>
    <col min="12" max="12" width="15.28515625" style="81" customWidth="1"/>
    <col min="13" max="13" width="15.85546875" style="81" bestFit="1" customWidth="1"/>
    <col min="14" max="14" width="46.7109375" style="88" bestFit="1" customWidth="1"/>
    <col min="255" max="255" width="31" bestFit="1" customWidth="1"/>
    <col min="256" max="256" width="11" bestFit="1" customWidth="1"/>
    <col min="257" max="257" width="15.42578125" bestFit="1" customWidth="1"/>
    <col min="258" max="258" width="13.28515625" bestFit="1" customWidth="1"/>
    <col min="259" max="259" width="10.28515625" bestFit="1" customWidth="1"/>
    <col min="260" max="260" width="15.7109375" customWidth="1"/>
    <col min="261" max="261" width="13.28515625" bestFit="1" customWidth="1"/>
    <col min="262" max="262" width="17.85546875" bestFit="1" customWidth="1"/>
    <col min="263" max="263" width="15.85546875" bestFit="1" customWidth="1"/>
    <col min="264" max="264" width="12.7109375" bestFit="1" customWidth="1"/>
    <col min="265" max="265" width="15.28515625" bestFit="1" customWidth="1"/>
    <col min="266" max="266" width="15.28515625" customWidth="1"/>
    <col min="267" max="267" width="15.85546875" bestFit="1" customWidth="1"/>
    <col min="268" max="269" width="0" hidden="1" customWidth="1"/>
    <col min="270" max="270" width="46.7109375" bestFit="1" customWidth="1"/>
    <col min="511" max="511" width="31" bestFit="1" customWidth="1"/>
    <col min="512" max="512" width="11" bestFit="1" customWidth="1"/>
    <col min="513" max="513" width="15.42578125" bestFit="1" customWidth="1"/>
    <col min="514" max="514" width="13.28515625" bestFit="1" customWidth="1"/>
    <col min="515" max="515" width="10.28515625" bestFit="1" customWidth="1"/>
    <col min="516" max="516" width="15.7109375" customWidth="1"/>
    <col min="517" max="517" width="13.28515625" bestFit="1" customWidth="1"/>
    <col min="518" max="518" width="17.85546875" bestFit="1" customWidth="1"/>
    <col min="519" max="519" width="15.85546875" bestFit="1" customWidth="1"/>
    <col min="520" max="520" width="12.7109375" bestFit="1" customWidth="1"/>
    <col min="521" max="521" width="15.28515625" bestFit="1" customWidth="1"/>
    <col min="522" max="522" width="15.28515625" customWidth="1"/>
    <col min="523" max="523" width="15.85546875" bestFit="1" customWidth="1"/>
    <col min="524" max="525" width="0" hidden="1" customWidth="1"/>
    <col min="526" max="526" width="46.7109375" bestFit="1" customWidth="1"/>
    <col min="767" max="767" width="31" bestFit="1" customWidth="1"/>
    <col min="768" max="768" width="11" bestFit="1" customWidth="1"/>
    <col min="769" max="769" width="15.42578125" bestFit="1" customWidth="1"/>
    <col min="770" max="770" width="13.28515625" bestFit="1" customWidth="1"/>
    <col min="771" max="771" width="10.28515625" bestFit="1" customWidth="1"/>
    <col min="772" max="772" width="15.7109375" customWidth="1"/>
    <col min="773" max="773" width="13.28515625" bestFit="1" customWidth="1"/>
    <col min="774" max="774" width="17.85546875" bestFit="1" customWidth="1"/>
    <col min="775" max="775" width="15.85546875" bestFit="1" customWidth="1"/>
    <col min="776" max="776" width="12.7109375" bestFit="1" customWidth="1"/>
    <col min="777" max="777" width="15.28515625" bestFit="1" customWidth="1"/>
    <col min="778" max="778" width="15.28515625" customWidth="1"/>
    <col min="779" max="779" width="15.85546875" bestFit="1" customWidth="1"/>
    <col min="780" max="781" width="0" hidden="1" customWidth="1"/>
    <col min="782" max="782" width="46.7109375" bestFit="1" customWidth="1"/>
    <col min="1023" max="1023" width="31" bestFit="1" customWidth="1"/>
    <col min="1024" max="1024" width="11" bestFit="1" customWidth="1"/>
    <col min="1025" max="1025" width="15.42578125" bestFit="1" customWidth="1"/>
    <col min="1026" max="1026" width="13.28515625" bestFit="1" customWidth="1"/>
    <col min="1027" max="1027" width="10.28515625" bestFit="1" customWidth="1"/>
    <col min="1028" max="1028" width="15.7109375" customWidth="1"/>
    <col min="1029" max="1029" width="13.28515625" bestFit="1" customWidth="1"/>
    <col min="1030" max="1030" width="17.85546875" bestFit="1" customWidth="1"/>
    <col min="1031" max="1031" width="15.85546875" bestFit="1" customWidth="1"/>
    <col min="1032" max="1032" width="12.7109375" bestFit="1" customWidth="1"/>
    <col min="1033" max="1033" width="15.28515625" bestFit="1" customWidth="1"/>
    <col min="1034" max="1034" width="15.28515625" customWidth="1"/>
    <col min="1035" max="1035" width="15.85546875" bestFit="1" customWidth="1"/>
    <col min="1036" max="1037" width="0" hidden="1" customWidth="1"/>
    <col min="1038" max="1038" width="46.7109375" bestFit="1" customWidth="1"/>
    <col min="1279" max="1279" width="31" bestFit="1" customWidth="1"/>
    <col min="1280" max="1280" width="11" bestFit="1" customWidth="1"/>
    <col min="1281" max="1281" width="15.42578125" bestFit="1" customWidth="1"/>
    <col min="1282" max="1282" width="13.28515625" bestFit="1" customWidth="1"/>
    <col min="1283" max="1283" width="10.28515625" bestFit="1" customWidth="1"/>
    <col min="1284" max="1284" width="15.7109375" customWidth="1"/>
    <col min="1285" max="1285" width="13.28515625" bestFit="1" customWidth="1"/>
    <col min="1286" max="1286" width="17.85546875" bestFit="1" customWidth="1"/>
    <col min="1287" max="1287" width="15.85546875" bestFit="1" customWidth="1"/>
    <col min="1288" max="1288" width="12.7109375" bestFit="1" customWidth="1"/>
    <col min="1289" max="1289" width="15.28515625" bestFit="1" customWidth="1"/>
    <col min="1290" max="1290" width="15.28515625" customWidth="1"/>
    <col min="1291" max="1291" width="15.85546875" bestFit="1" customWidth="1"/>
    <col min="1292" max="1293" width="0" hidden="1" customWidth="1"/>
    <col min="1294" max="1294" width="46.7109375" bestFit="1" customWidth="1"/>
    <col min="1535" max="1535" width="31" bestFit="1" customWidth="1"/>
    <col min="1536" max="1536" width="11" bestFit="1" customWidth="1"/>
    <col min="1537" max="1537" width="15.42578125" bestFit="1" customWidth="1"/>
    <col min="1538" max="1538" width="13.28515625" bestFit="1" customWidth="1"/>
    <col min="1539" max="1539" width="10.28515625" bestFit="1" customWidth="1"/>
    <col min="1540" max="1540" width="15.7109375" customWidth="1"/>
    <col min="1541" max="1541" width="13.28515625" bestFit="1" customWidth="1"/>
    <col min="1542" max="1542" width="17.85546875" bestFit="1" customWidth="1"/>
    <col min="1543" max="1543" width="15.85546875" bestFit="1" customWidth="1"/>
    <col min="1544" max="1544" width="12.7109375" bestFit="1" customWidth="1"/>
    <col min="1545" max="1545" width="15.28515625" bestFit="1" customWidth="1"/>
    <col min="1546" max="1546" width="15.28515625" customWidth="1"/>
    <col min="1547" max="1547" width="15.85546875" bestFit="1" customWidth="1"/>
    <col min="1548" max="1549" width="0" hidden="1" customWidth="1"/>
    <col min="1550" max="1550" width="46.7109375" bestFit="1" customWidth="1"/>
    <col min="1791" max="1791" width="31" bestFit="1" customWidth="1"/>
    <col min="1792" max="1792" width="11" bestFit="1" customWidth="1"/>
    <col min="1793" max="1793" width="15.42578125" bestFit="1" customWidth="1"/>
    <col min="1794" max="1794" width="13.28515625" bestFit="1" customWidth="1"/>
    <col min="1795" max="1795" width="10.28515625" bestFit="1" customWidth="1"/>
    <col min="1796" max="1796" width="15.7109375" customWidth="1"/>
    <col min="1797" max="1797" width="13.28515625" bestFit="1" customWidth="1"/>
    <col min="1798" max="1798" width="17.85546875" bestFit="1" customWidth="1"/>
    <col min="1799" max="1799" width="15.85546875" bestFit="1" customWidth="1"/>
    <col min="1800" max="1800" width="12.7109375" bestFit="1" customWidth="1"/>
    <col min="1801" max="1801" width="15.28515625" bestFit="1" customWidth="1"/>
    <col min="1802" max="1802" width="15.28515625" customWidth="1"/>
    <col min="1803" max="1803" width="15.85546875" bestFit="1" customWidth="1"/>
    <col min="1804" max="1805" width="0" hidden="1" customWidth="1"/>
    <col min="1806" max="1806" width="46.7109375" bestFit="1" customWidth="1"/>
    <col min="2047" max="2047" width="31" bestFit="1" customWidth="1"/>
    <col min="2048" max="2048" width="11" bestFit="1" customWidth="1"/>
    <col min="2049" max="2049" width="15.42578125" bestFit="1" customWidth="1"/>
    <col min="2050" max="2050" width="13.28515625" bestFit="1" customWidth="1"/>
    <col min="2051" max="2051" width="10.28515625" bestFit="1" customWidth="1"/>
    <col min="2052" max="2052" width="15.7109375" customWidth="1"/>
    <col min="2053" max="2053" width="13.28515625" bestFit="1" customWidth="1"/>
    <col min="2054" max="2054" width="17.85546875" bestFit="1" customWidth="1"/>
    <col min="2055" max="2055" width="15.85546875" bestFit="1" customWidth="1"/>
    <col min="2056" max="2056" width="12.7109375" bestFit="1" customWidth="1"/>
    <col min="2057" max="2057" width="15.28515625" bestFit="1" customWidth="1"/>
    <col min="2058" max="2058" width="15.28515625" customWidth="1"/>
    <col min="2059" max="2059" width="15.85546875" bestFit="1" customWidth="1"/>
    <col min="2060" max="2061" width="0" hidden="1" customWidth="1"/>
    <col min="2062" max="2062" width="46.7109375" bestFit="1" customWidth="1"/>
    <col min="2303" max="2303" width="31" bestFit="1" customWidth="1"/>
    <col min="2304" max="2304" width="11" bestFit="1" customWidth="1"/>
    <col min="2305" max="2305" width="15.42578125" bestFit="1" customWidth="1"/>
    <col min="2306" max="2306" width="13.28515625" bestFit="1" customWidth="1"/>
    <col min="2307" max="2307" width="10.28515625" bestFit="1" customWidth="1"/>
    <col min="2308" max="2308" width="15.7109375" customWidth="1"/>
    <col min="2309" max="2309" width="13.28515625" bestFit="1" customWidth="1"/>
    <col min="2310" max="2310" width="17.85546875" bestFit="1" customWidth="1"/>
    <col min="2311" max="2311" width="15.85546875" bestFit="1" customWidth="1"/>
    <col min="2312" max="2312" width="12.7109375" bestFit="1" customWidth="1"/>
    <col min="2313" max="2313" width="15.28515625" bestFit="1" customWidth="1"/>
    <col min="2314" max="2314" width="15.28515625" customWidth="1"/>
    <col min="2315" max="2315" width="15.85546875" bestFit="1" customWidth="1"/>
    <col min="2316" max="2317" width="0" hidden="1" customWidth="1"/>
    <col min="2318" max="2318" width="46.7109375" bestFit="1" customWidth="1"/>
    <col min="2559" max="2559" width="31" bestFit="1" customWidth="1"/>
    <col min="2560" max="2560" width="11" bestFit="1" customWidth="1"/>
    <col min="2561" max="2561" width="15.42578125" bestFit="1" customWidth="1"/>
    <col min="2562" max="2562" width="13.28515625" bestFit="1" customWidth="1"/>
    <col min="2563" max="2563" width="10.28515625" bestFit="1" customWidth="1"/>
    <col min="2564" max="2564" width="15.7109375" customWidth="1"/>
    <col min="2565" max="2565" width="13.28515625" bestFit="1" customWidth="1"/>
    <col min="2566" max="2566" width="17.85546875" bestFit="1" customWidth="1"/>
    <col min="2567" max="2567" width="15.85546875" bestFit="1" customWidth="1"/>
    <col min="2568" max="2568" width="12.7109375" bestFit="1" customWidth="1"/>
    <col min="2569" max="2569" width="15.28515625" bestFit="1" customWidth="1"/>
    <col min="2570" max="2570" width="15.28515625" customWidth="1"/>
    <col min="2571" max="2571" width="15.85546875" bestFit="1" customWidth="1"/>
    <col min="2572" max="2573" width="0" hidden="1" customWidth="1"/>
    <col min="2574" max="2574" width="46.7109375" bestFit="1" customWidth="1"/>
    <col min="2815" max="2815" width="31" bestFit="1" customWidth="1"/>
    <col min="2816" max="2816" width="11" bestFit="1" customWidth="1"/>
    <col min="2817" max="2817" width="15.42578125" bestFit="1" customWidth="1"/>
    <col min="2818" max="2818" width="13.28515625" bestFit="1" customWidth="1"/>
    <col min="2819" max="2819" width="10.28515625" bestFit="1" customWidth="1"/>
    <col min="2820" max="2820" width="15.7109375" customWidth="1"/>
    <col min="2821" max="2821" width="13.28515625" bestFit="1" customWidth="1"/>
    <col min="2822" max="2822" width="17.85546875" bestFit="1" customWidth="1"/>
    <col min="2823" max="2823" width="15.85546875" bestFit="1" customWidth="1"/>
    <col min="2824" max="2824" width="12.7109375" bestFit="1" customWidth="1"/>
    <col min="2825" max="2825" width="15.28515625" bestFit="1" customWidth="1"/>
    <col min="2826" max="2826" width="15.28515625" customWidth="1"/>
    <col min="2827" max="2827" width="15.85546875" bestFit="1" customWidth="1"/>
    <col min="2828" max="2829" width="0" hidden="1" customWidth="1"/>
    <col min="2830" max="2830" width="46.7109375" bestFit="1" customWidth="1"/>
    <col min="3071" max="3071" width="31" bestFit="1" customWidth="1"/>
    <col min="3072" max="3072" width="11" bestFit="1" customWidth="1"/>
    <col min="3073" max="3073" width="15.42578125" bestFit="1" customWidth="1"/>
    <col min="3074" max="3074" width="13.28515625" bestFit="1" customWidth="1"/>
    <col min="3075" max="3075" width="10.28515625" bestFit="1" customWidth="1"/>
    <col min="3076" max="3076" width="15.7109375" customWidth="1"/>
    <col min="3077" max="3077" width="13.28515625" bestFit="1" customWidth="1"/>
    <col min="3078" max="3078" width="17.85546875" bestFit="1" customWidth="1"/>
    <col min="3079" max="3079" width="15.85546875" bestFit="1" customWidth="1"/>
    <col min="3080" max="3080" width="12.7109375" bestFit="1" customWidth="1"/>
    <col min="3081" max="3081" width="15.28515625" bestFit="1" customWidth="1"/>
    <col min="3082" max="3082" width="15.28515625" customWidth="1"/>
    <col min="3083" max="3083" width="15.85546875" bestFit="1" customWidth="1"/>
    <col min="3084" max="3085" width="0" hidden="1" customWidth="1"/>
    <col min="3086" max="3086" width="46.7109375" bestFit="1" customWidth="1"/>
    <col min="3327" max="3327" width="31" bestFit="1" customWidth="1"/>
    <col min="3328" max="3328" width="11" bestFit="1" customWidth="1"/>
    <col min="3329" max="3329" width="15.42578125" bestFit="1" customWidth="1"/>
    <col min="3330" max="3330" width="13.28515625" bestFit="1" customWidth="1"/>
    <col min="3331" max="3331" width="10.28515625" bestFit="1" customWidth="1"/>
    <col min="3332" max="3332" width="15.7109375" customWidth="1"/>
    <col min="3333" max="3333" width="13.28515625" bestFit="1" customWidth="1"/>
    <col min="3334" max="3334" width="17.85546875" bestFit="1" customWidth="1"/>
    <col min="3335" max="3335" width="15.85546875" bestFit="1" customWidth="1"/>
    <col min="3336" max="3336" width="12.7109375" bestFit="1" customWidth="1"/>
    <col min="3337" max="3337" width="15.28515625" bestFit="1" customWidth="1"/>
    <col min="3338" max="3338" width="15.28515625" customWidth="1"/>
    <col min="3339" max="3339" width="15.85546875" bestFit="1" customWidth="1"/>
    <col min="3340" max="3341" width="0" hidden="1" customWidth="1"/>
    <col min="3342" max="3342" width="46.7109375" bestFit="1" customWidth="1"/>
    <col min="3583" max="3583" width="31" bestFit="1" customWidth="1"/>
    <col min="3584" max="3584" width="11" bestFit="1" customWidth="1"/>
    <col min="3585" max="3585" width="15.42578125" bestFit="1" customWidth="1"/>
    <col min="3586" max="3586" width="13.28515625" bestFit="1" customWidth="1"/>
    <col min="3587" max="3587" width="10.28515625" bestFit="1" customWidth="1"/>
    <col min="3588" max="3588" width="15.7109375" customWidth="1"/>
    <col min="3589" max="3589" width="13.28515625" bestFit="1" customWidth="1"/>
    <col min="3590" max="3590" width="17.85546875" bestFit="1" customWidth="1"/>
    <col min="3591" max="3591" width="15.85546875" bestFit="1" customWidth="1"/>
    <col min="3592" max="3592" width="12.7109375" bestFit="1" customWidth="1"/>
    <col min="3593" max="3593" width="15.28515625" bestFit="1" customWidth="1"/>
    <col min="3594" max="3594" width="15.28515625" customWidth="1"/>
    <col min="3595" max="3595" width="15.85546875" bestFit="1" customWidth="1"/>
    <col min="3596" max="3597" width="0" hidden="1" customWidth="1"/>
    <col min="3598" max="3598" width="46.7109375" bestFit="1" customWidth="1"/>
    <col min="3839" max="3839" width="31" bestFit="1" customWidth="1"/>
    <col min="3840" max="3840" width="11" bestFit="1" customWidth="1"/>
    <col min="3841" max="3841" width="15.42578125" bestFit="1" customWidth="1"/>
    <col min="3842" max="3842" width="13.28515625" bestFit="1" customWidth="1"/>
    <col min="3843" max="3843" width="10.28515625" bestFit="1" customWidth="1"/>
    <col min="3844" max="3844" width="15.7109375" customWidth="1"/>
    <col min="3845" max="3845" width="13.28515625" bestFit="1" customWidth="1"/>
    <col min="3846" max="3846" width="17.85546875" bestFit="1" customWidth="1"/>
    <col min="3847" max="3847" width="15.85546875" bestFit="1" customWidth="1"/>
    <col min="3848" max="3848" width="12.7109375" bestFit="1" customWidth="1"/>
    <col min="3849" max="3849" width="15.28515625" bestFit="1" customWidth="1"/>
    <col min="3850" max="3850" width="15.28515625" customWidth="1"/>
    <col min="3851" max="3851" width="15.85546875" bestFit="1" customWidth="1"/>
    <col min="3852" max="3853" width="0" hidden="1" customWidth="1"/>
    <col min="3854" max="3854" width="46.7109375" bestFit="1" customWidth="1"/>
    <col min="4095" max="4095" width="31" bestFit="1" customWidth="1"/>
    <col min="4096" max="4096" width="11" bestFit="1" customWidth="1"/>
    <col min="4097" max="4097" width="15.42578125" bestFit="1" customWidth="1"/>
    <col min="4098" max="4098" width="13.28515625" bestFit="1" customWidth="1"/>
    <col min="4099" max="4099" width="10.28515625" bestFit="1" customWidth="1"/>
    <col min="4100" max="4100" width="15.7109375" customWidth="1"/>
    <col min="4101" max="4101" width="13.28515625" bestFit="1" customWidth="1"/>
    <col min="4102" max="4102" width="17.85546875" bestFit="1" customWidth="1"/>
    <col min="4103" max="4103" width="15.85546875" bestFit="1" customWidth="1"/>
    <col min="4104" max="4104" width="12.7109375" bestFit="1" customWidth="1"/>
    <col min="4105" max="4105" width="15.28515625" bestFit="1" customWidth="1"/>
    <col min="4106" max="4106" width="15.28515625" customWidth="1"/>
    <col min="4107" max="4107" width="15.85546875" bestFit="1" customWidth="1"/>
    <col min="4108" max="4109" width="0" hidden="1" customWidth="1"/>
    <col min="4110" max="4110" width="46.7109375" bestFit="1" customWidth="1"/>
    <col min="4351" max="4351" width="31" bestFit="1" customWidth="1"/>
    <col min="4352" max="4352" width="11" bestFit="1" customWidth="1"/>
    <col min="4353" max="4353" width="15.42578125" bestFit="1" customWidth="1"/>
    <col min="4354" max="4354" width="13.28515625" bestFit="1" customWidth="1"/>
    <col min="4355" max="4355" width="10.28515625" bestFit="1" customWidth="1"/>
    <col min="4356" max="4356" width="15.7109375" customWidth="1"/>
    <col min="4357" max="4357" width="13.28515625" bestFit="1" customWidth="1"/>
    <col min="4358" max="4358" width="17.85546875" bestFit="1" customWidth="1"/>
    <col min="4359" max="4359" width="15.85546875" bestFit="1" customWidth="1"/>
    <col min="4360" max="4360" width="12.7109375" bestFit="1" customWidth="1"/>
    <col min="4361" max="4361" width="15.28515625" bestFit="1" customWidth="1"/>
    <col min="4362" max="4362" width="15.28515625" customWidth="1"/>
    <col min="4363" max="4363" width="15.85546875" bestFit="1" customWidth="1"/>
    <col min="4364" max="4365" width="0" hidden="1" customWidth="1"/>
    <col min="4366" max="4366" width="46.7109375" bestFit="1" customWidth="1"/>
    <col min="4607" max="4607" width="31" bestFit="1" customWidth="1"/>
    <col min="4608" max="4608" width="11" bestFit="1" customWidth="1"/>
    <col min="4609" max="4609" width="15.42578125" bestFit="1" customWidth="1"/>
    <col min="4610" max="4610" width="13.28515625" bestFit="1" customWidth="1"/>
    <col min="4611" max="4611" width="10.28515625" bestFit="1" customWidth="1"/>
    <col min="4612" max="4612" width="15.7109375" customWidth="1"/>
    <col min="4613" max="4613" width="13.28515625" bestFit="1" customWidth="1"/>
    <col min="4614" max="4614" width="17.85546875" bestFit="1" customWidth="1"/>
    <col min="4615" max="4615" width="15.85546875" bestFit="1" customWidth="1"/>
    <col min="4616" max="4616" width="12.7109375" bestFit="1" customWidth="1"/>
    <col min="4617" max="4617" width="15.28515625" bestFit="1" customWidth="1"/>
    <col min="4618" max="4618" width="15.28515625" customWidth="1"/>
    <col min="4619" max="4619" width="15.85546875" bestFit="1" customWidth="1"/>
    <col min="4620" max="4621" width="0" hidden="1" customWidth="1"/>
    <col min="4622" max="4622" width="46.7109375" bestFit="1" customWidth="1"/>
    <col min="4863" max="4863" width="31" bestFit="1" customWidth="1"/>
    <col min="4864" max="4864" width="11" bestFit="1" customWidth="1"/>
    <col min="4865" max="4865" width="15.42578125" bestFit="1" customWidth="1"/>
    <col min="4866" max="4866" width="13.28515625" bestFit="1" customWidth="1"/>
    <col min="4867" max="4867" width="10.28515625" bestFit="1" customWidth="1"/>
    <col min="4868" max="4868" width="15.7109375" customWidth="1"/>
    <col min="4869" max="4869" width="13.28515625" bestFit="1" customWidth="1"/>
    <col min="4870" max="4870" width="17.85546875" bestFit="1" customWidth="1"/>
    <col min="4871" max="4871" width="15.85546875" bestFit="1" customWidth="1"/>
    <col min="4872" max="4872" width="12.7109375" bestFit="1" customWidth="1"/>
    <col min="4873" max="4873" width="15.28515625" bestFit="1" customWidth="1"/>
    <col min="4874" max="4874" width="15.28515625" customWidth="1"/>
    <col min="4875" max="4875" width="15.85546875" bestFit="1" customWidth="1"/>
    <col min="4876" max="4877" width="0" hidden="1" customWidth="1"/>
    <col min="4878" max="4878" width="46.7109375" bestFit="1" customWidth="1"/>
    <col min="5119" max="5119" width="31" bestFit="1" customWidth="1"/>
    <col min="5120" max="5120" width="11" bestFit="1" customWidth="1"/>
    <col min="5121" max="5121" width="15.42578125" bestFit="1" customWidth="1"/>
    <col min="5122" max="5122" width="13.28515625" bestFit="1" customWidth="1"/>
    <col min="5123" max="5123" width="10.28515625" bestFit="1" customWidth="1"/>
    <col min="5124" max="5124" width="15.7109375" customWidth="1"/>
    <col min="5125" max="5125" width="13.28515625" bestFit="1" customWidth="1"/>
    <col min="5126" max="5126" width="17.85546875" bestFit="1" customWidth="1"/>
    <col min="5127" max="5127" width="15.85546875" bestFit="1" customWidth="1"/>
    <col min="5128" max="5128" width="12.7109375" bestFit="1" customWidth="1"/>
    <col min="5129" max="5129" width="15.28515625" bestFit="1" customWidth="1"/>
    <col min="5130" max="5130" width="15.28515625" customWidth="1"/>
    <col min="5131" max="5131" width="15.85546875" bestFit="1" customWidth="1"/>
    <col min="5132" max="5133" width="0" hidden="1" customWidth="1"/>
    <col min="5134" max="5134" width="46.7109375" bestFit="1" customWidth="1"/>
    <col min="5375" max="5375" width="31" bestFit="1" customWidth="1"/>
    <col min="5376" max="5376" width="11" bestFit="1" customWidth="1"/>
    <col min="5377" max="5377" width="15.42578125" bestFit="1" customWidth="1"/>
    <col min="5378" max="5378" width="13.28515625" bestFit="1" customWidth="1"/>
    <col min="5379" max="5379" width="10.28515625" bestFit="1" customWidth="1"/>
    <col min="5380" max="5380" width="15.7109375" customWidth="1"/>
    <col min="5381" max="5381" width="13.28515625" bestFit="1" customWidth="1"/>
    <col min="5382" max="5382" width="17.85546875" bestFit="1" customWidth="1"/>
    <col min="5383" max="5383" width="15.85546875" bestFit="1" customWidth="1"/>
    <col min="5384" max="5384" width="12.7109375" bestFit="1" customWidth="1"/>
    <col min="5385" max="5385" width="15.28515625" bestFit="1" customWidth="1"/>
    <col min="5386" max="5386" width="15.28515625" customWidth="1"/>
    <col min="5387" max="5387" width="15.85546875" bestFit="1" customWidth="1"/>
    <col min="5388" max="5389" width="0" hidden="1" customWidth="1"/>
    <col min="5390" max="5390" width="46.7109375" bestFit="1" customWidth="1"/>
    <col min="5631" max="5631" width="31" bestFit="1" customWidth="1"/>
    <col min="5632" max="5632" width="11" bestFit="1" customWidth="1"/>
    <col min="5633" max="5633" width="15.42578125" bestFit="1" customWidth="1"/>
    <col min="5634" max="5634" width="13.28515625" bestFit="1" customWidth="1"/>
    <col min="5635" max="5635" width="10.28515625" bestFit="1" customWidth="1"/>
    <col min="5636" max="5636" width="15.7109375" customWidth="1"/>
    <col min="5637" max="5637" width="13.28515625" bestFit="1" customWidth="1"/>
    <col min="5638" max="5638" width="17.85546875" bestFit="1" customWidth="1"/>
    <col min="5639" max="5639" width="15.85546875" bestFit="1" customWidth="1"/>
    <col min="5640" max="5640" width="12.7109375" bestFit="1" customWidth="1"/>
    <col min="5641" max="5641" width="15.28515625" bestFit="1" customWidth="1"/>
    <col min="5642" max="5642" width="15.28515625" customWidth="1"/>
    <col min="5643" max="5643" width="15.85546875" bestFit="1" customWidth="1"/>
    <col min="5644" max="5645" width="0" hidden="1" customWidth="1"/>
    <col min="5646" max="5646" width="46.7109375" bestFit="1" customWidth="1"/>
    <col min="5887" max="5887" width="31" bestFit="1" customWidth="1"/>
    <col min="5888" max="5888" width="11" bestFit="1" customWidth="1"/>
    <col min="5889" max="5889" width="15.42578125" bestFit="1" customWidth="1"/>
    <col min="5890" max="5890" width="13.28515625" bestFit="1" customWidth="1"/>
    <col min="5891" max="5891" width="10.28515625" bestFit="1" customWidth="1"/>
    <col min="5892" max="5892" width="15.7109375" customWidth="1"/>
    <col min="5893" max="5893" width="13.28515625" bestFit="1" customWidth="1"/>
    <col min="5894" max="5894" width="17.85546875" bestFit="1" customWidth="1"/>
    <col min="5895" max="5895" width="15.85546875" bestFit="1" customWidth="1"/>
    <col min="5896" max="5896" width="12.7109375" bestFit="1" customWidth="1"/>
    <col min="5897" max="5897" width="15.28515625" bestFit="1" customWidth="1"/>
    <col min="5898" max="5898" width="15.28515625" customWidth="1"/>
    <col min="5899" max="5899" width="15.85546875" bestFit="1" customWidth="1"/>
    <col min="5900" max="5901" width="0" hidden="1" customWidth="1"/>
    <col min="5902" max="5902" width="46.7109375" bestFit="1" customWidth="1"/>
    <col min="6143" max="6143" width="31" bestFit="1" customWidth="1"/>
    <col min="6144" max="6144" width="11" bestFit="1" customWidth="1"/>
    <col min="6145" max="6145" width="15.42578125" bestFit="1" customWidth="1"/>
    <col min="6146" max="6146" width="13.28515625" bestFit="1" customWidth="1"/>
    <col min="6147" max="6147" width="10.28515625" bestFit="1" customWidth="1"/>
    <col min="6148" max="6148" width="15.7109375" customWidth="1"/>
    <col min="6149" max="6149" width="13.28515625" bestFit="1" customWidth="1"/>
    <col min="6150" max="6150" width="17.85546875" bestFit="1" customWidth="1"/>
    <col min="6151" max="6151" width="15.85546875" bestFit="1" customWidth="1"/>
    <col min="6152" max="6152" width="12.7109375" bestFit="1" customWidth="1"/>
    <col min="6153" max="6153" width="15.28515625" bestFit="1" customWidth="1"/>
    <col min="6154" max="6154" width="15.28515625" customWidth="1"/>
    <col min="6155" max="6155" width="15.85546875" bestFit="1" customWidth="1"/>
    <col min="6156" max="6157" width="0" hidden="1" customWidth="1"/>
    <col min="6158" max="6158" width="46.7109375" bestFit="1" customWidth="1"/>
    <col min="6399" max="6399" width="31" bestFit="1" customWidth="1"/>
    <col min="6400" max="6400" width="11" bestFit="1" customWidth="1"/>
    <col min="6401" max="6401" width="15.42578125" bestFit="1" customWidth="1"/>
    <col min="6402" max="6402" width="13.28515625" bestFit="1" customWidth="1"/>
    <col min="6403" max="6403" width="10.28515625" bestFit="1" customWidth="1"/>
    <col min="6404" max="6404" width="15.7109375" customWidth="1"/>
    <col min="6405" max="6405" width="13.28515625" bestFit="1" customWidth="1"/>
    <col min="6406" max="6406" width="17.85546875" bestFit="1" customWidth="1"/>
    <col min="6407" max="6407" width="15.85546875" bestFit="1" customWidth="1"/>
    <col min="6408" max="6408" width="12.7109375" bestFit="1" customWidth="1"/>
    <col min="6409" max="6409" width="15.28515625" bestFit="1" customWidth="1"/>
    <col min="6410" max="6410" width="15.28515625" customWidth="1"/>
    <col min="6411" max="6411" width="15.85546875" bestFit="1" customWidth="1"/>
    <col min="6412" max="6413" width="0" hidden="1" customWidth="1"/>
    <col min="6414" max="6414" width="46.7109375" bestFit="1" customWidth="1"/>
    <col min="6655" max="6655" width="31" bestFit="1" customWidth="1"/>
    <col min="6656" max="6656" width="11" bestFit="1" customWidth="1"/>
    <col min="6657" max="6657" width="15.42578125" bestFit="1" customWidth="1"/>
    <col min="6658" max="6658" width="13.28515625" bestFit="1" customWidth="1"/>
    <col min="6659" max="6659" width="10.28515625" bestFit="1" customWidth="1"/>
    <col min="6660" max="6660" width="15.7109375" customWidth="1"/>
    <col min="6661" max="6661" width="13.28515625" bestFit="1" customWidth="1"/>
    <col min="6662" max="6662" width="17.85546875" bestFit="1" customWidth="1"/>
    <col min="6663" max="6663" width="15.85546875" bestFit="1" customWidth="1"/>
    <col min="6664" max="6664" width="12.7109375" bestFit="1" customWidth="1"/>
    <col min="6665" max="6665" width="15.28515625" bestFit="1" customWidth="1"/>
    <col min="6666" max="6666" width="15.28515625" customWidth="1"/>
    <col min="6667" max="6667" width="15.85546875" bestFit="1" customWidth="1"/>
    <col min="6668" max="6669" width="0" hidden="1" customWidth="1"/>
    <col min="6670" max="6670" width="46.7109375" bestFit="1" customWidth="1"/>
    <col min="6911" max="6911" width="31" bestFit="1" customWidth="1"/>
    <col min="6912" max="6912" width="11" bestFit="1" customWidth="1"/>
    <col min="6913" max="6913" width="15.42578125" bestFit="1" customWidth="1"/>
    <col min="6914" max="6914" width="13.28515625" bestFit="1" customWidth="1"/>
    <col min="6915" max="6915" width="10.28515625" bestFit="1" customWidth="1"/>
    <col min="6916" max="6916" width="15.7109375" customWidth="1"/>
    <col min="6917" max="6917" width="13.28515625" bestFit="1" customWidth="1"/>
    <col min="6918" max="6918" width="17.85546875" bestFit="1" customWidth="1"/>
    <col min="6919" max="6919" width="15.85546875" bestFit="1" customWidth="1"/>
    <col min="6920" max="6920" width="12.7109375" bestFit="1" customWidth="1"/>
    <col min="6921" max="6921" width="15.28515625" bestFit="1" customWidth="1"/>
    <col min="6922" max="6922" width="15.28515625" customWidth="1"/>
    <col min="6923" max="6923" width="15.85546875" bestFit="1" customWidth="1"/>
    <col min="6924" max="6925" width="0" hidden="1" customWidth="1"/>
    <col min="6926" max="6926" width="46.7109375" bestFit="1" customWidth="1"/>
    <col min="7167" max="7167" width="31" bestFit="1" customWidth="1"/>
    <col min="7168" max="7168" width="11" bestFit="1" customWidth="1"/>
    <col min="7169" max="7169" width="15.42578125" bestFit="1" customWidth="1"/>
    <col min="7170" max="7170" width="13.28515625" bestFit="1" customWidth="1"/>
    <col min="7171" max="7171" width="10.28515625" bestFit="1" customWidth="1"/>
    <col min="7172" max="7172" width="15.7109375" customWidth="1"/>
    <col min="7173" max="7173" width="13.28515625" bestFit="1" customWidth="1"/>
    <col min="7174" max="7174" width="17.85546875" bestFit="1" customWidth="1"/>
    <col min="7175" max="7175" width="15.85546875" bestFit="1" customWidth="1"/>
    <col min="7176" max="7176" width="12.7109375" bestFit="1" customWidth="1"/>
    <col min="7177" max="7177" width="15.28515625" bestFit="1" customWidth="1"/>
    <col min="7178" max="7178" width="15.28515625" customWidth="1"/>
    <col min="7179" max="7179" width="15.85546875" bestFit="1" customWidth="1"/>
    <col min="7180" max="7181" width="0" hidden="1" customWidth="1"/>
    <col min="7182" max="7182" width="46.7109375" bestFit="1" customWidth="1"/>
    <col min="7423" max="7423" width="31" bestFit="1" customWidth="1"/>
    <col min="7424" max="7424" width="11" bestFit="1" customWidth="1"/>
    <col min="7425" max="7425" width="15.42578125" bestFit="1" customWidth="1"/>
    <col min="7426" max="7426" width="13.28515625" bestFit="1" customWidth="1"/>
    <col min="7427" max="7427" width="10.28515625" bestFit="1" customWidth="1"/>
    <col min="7428" max="7428" width="15.7109375" customWidth="1"/>
    <col min="7429" max="7429" width="13.28515625" bestFit="1" customWidth="1"/>
    <col min="7430" max="7430" width="17.85546875" bestFit="1" customWidth="1"/>
    <col min="7431" max="7431" width="15.85546875" bestFit="1" customWidth="1"/>
    <col min="7432" max="7432" width="12.7109375" bestFit="1" customWidth="1"/>
    <col min="7433" max="7433" width="15.28515625" bestFit="1" customWidth="1"/>
    <col min="7434" max="7434" width="15.28515625" customWidth="1"/>
    <col min="7435" max="7435" width="15.85546875" bestFit="1" customWidth="1"/>
    <col min="7436" max="7437" width="0" hidden="1" customWidth="1"/>
    <col min="7438" max="7438" width="46.7109375" bestFit="1" customWidth="1"/>
    <col min="7679" max="7679" width="31" bestFit="1" customWidth="1"/>
    <col min="7680" max="7680" width="11" bestFit="1" customWidth="1"/>
    <col min="7681" max="7681" width="15.42578125" bestFit="1" customWidth="1"/>
    <col min="7682" max="7682" width="13.28515625" bestFit="1" customWidth="1"/>
    <col min="7683" max="7683" width="10.28515625" bestFit="1" customWidth="1"/>
    <col min="7684" max="7684" width="15.7109375" customWidth="1"/>
    <col min="7685" max="7685" width="13.28515625" bestFit="1" customWidth="1"/>
    <col min="7686" max="7686" width="17.85546875" bestFit="1" customWidth="1"/>
    <col min="7687" max="7687" width="15.85546875" bestFit="1" customWidth="1"/>
    <col min="7688" max="7688" width="12.7109375" bestFit="1" customWidth="1"/>
    <col min="7689" max="7689" width="15.28515625" bestFit="1" customWidth="1"/>
    <col min="7690" max="7690" width="15.28515625" customWidth="1"/>
    <col min="7691" max="7691" width="15.85546875" bestFit="1" customWidth="1"/>
    <col min="7692" max="7693" width="0" hidden="1" customWidth="1"/>
    <col min="7694" max="7694" width="46.7109375" bestFit="1" customWidth="1"/>
    <col min="7935" max="7935" width="31" bestFit="1" customWidth="1"/>
    <col min="7936" max="7936" width="11" bestFit="1" customWidth="1"/>
    <col min="7937" max="7937" width="15.42578125" bestFit="1" customWidth="1"/>
    <col min="7938" max="7938" width="13.28515625" bestFit="1" customWidth="1"/>
    <col min="7939" max="7939" width="10.28515625" bestFit="1" customWidth="1"/>
    <col min="7940" max="7940" width="15.7109375" customWidth="1"/>
    <col min="7941" max="7941" width="13.28515625" bestFit="1" customWidth="1"/>
    <col min="7942" max="7942" width="17.85546875" bestFit="1" customWidth="1"/>
    <col min="7943" max="7943" width="15.85546875" bestFit="1" customWidth="1"/>
    <col min="7944" max="7944" width="12.7109375" bestFit="1" customWidth="1"/>
    <col min="7945" max="7945" width="15.28515625" bestFit="1" customWidth="1"/>
    <col min="7946" max="7946" width="15.28515625" customWidth="1"/>
    <col min="7947" max="7947" width="15.85546875" bestFit="1" customWidth="1"/>
    <col min="7948" max="7949" width="0" hidden="1" customWidth="1"/>
    <col min="7950" max="7950" width="46.7109375" bestFit="1" customWidth="1"/>
    <col min="8191" max="8191" width="31" bestFit="1" customWidth="1"/>
    <col min="8192" max="8192" width="11" bestFit="1" customWidth="1"/>
    <col min="8193" max="8193" width="15.42578125" bestFit="1" customWidth="1"/>
    <col min="8194" max="8194" width="13.28515625" bestFit="1" customWidth="1"/>
    <col min="8195" max="8195" width="10.28515625" bestFit="1" customWidth="1"/>
    <col min="8196" max="8196" width="15.7109375" customWidth="1"/>
    <col min="8197" max="8197" width="13.28515625" bestFit="1" customWidth="1"/>
    <col min="8198" max="8198" width="17.85546875" bestFit="1" customWidth="1"/>
    <col min="8199" max="8199" width="15.85546875" bestFit="1" customWidth="1"/>
    <col min="8200" max="8200" width="12.7109375" bestFit="1" customWidth="1"/>
    <col min="8201" max="8201" width="15.28515625" bestFit="1" customWidth="1"/>
    <col min="8202" max="8202" width="15.28515625" customWidth="1"/>
    <col min="8203" max="8203" width="15.85546875" bestFit="1" customWidth="1"/>
    <col min="8204" max="8205" width="0" hidden="1" customWidth="1"/>
    <col min="8206" max="8206" width="46.7109375" bestFit="1" customWidth="1"/>
    <col min="8447" max="8447" width="31" bestFit="1" customWidth="1"/>
    <col min="8448" max="8448" width="11" bestFit="1" customWidth="1"/>
    <col min="8449" max="8449" width="15.42578125" bestFit="1" customWidth="1"/>
    <col min="8450" max="8450" width="13.28515625" bestFit="1" customWidth="1"/>
    <col min="8451" max="8451" width="10.28515625" bestFit="1" customWidth="1"/>
    <col min="8452" max="8452" width="15.7109375" customWidth="1"/>
    <col min="8453" max="8453" width="13.28515625" bestFit="1" customWidth="1"/>
    <col min="8454" max="8454" width="17.85546875" bestFit="1" customWidth="1"/>
    <col min="8455" max="8455" width="15.85546875" bestFit="1" customWidth="1"/>
    <col min="8456" max="8456" width="12.7109375" bestFit="1" customWidth="1"/>
    <col min="8457" max="8457" width="15.28515625" bestFit="1" customWidth="1"/>
    <col min="8458" max="8458" width="15.28515625" customWidth="1"/>
    <col min="8459" max="8459" width="15.85546875" bestFit="1" customWidth="1"/>
    <col min="8460" max="8461" width="0" hidden="1" customWidth="1"/>
    <col min="8462" max="8462" width="46.7109375" bestFit="1" customWidth="1"/>
    <col min="8703" max="8703" width="31" bestFit="1" customWidth="1"/>
    <col min="8704" max="8704" width="11" bestFit="1" customWidth="1"/>
    <col min="8705" max="8705" width="15.42578125" bestFit="1" customWidth="1"/>
    <col min="8706" max="8706" width="13.28515625" bestFit="1" customWidth="1"/>
    <col min="8707" max="8707" width="10.28515625" bestFit="1" customWidth="1"/>
    <col min="8708" max="8708" width="15.7109375" customWidth="1"/>
    <col min="8709" max="8709" width="13.28515625" bestFit="1" customWidth="1"/>
    <col min="8710" max="8710" width="17.85546875" bestFit="1" customWidth="1"/>
    <col min="8711" max="8711" width="15.85546875" bestFit="1" customWidth="1"/>
    <col min="8712" max="8712" width="12.7109375" bestFit="1" customWidth="1"/>
    <col min="8713" max="8713" width="15.28515625" bestFit="1" customWidth="1"/>
    <col min="8714" max="8714" width="15.28515625" customWidth="1"/>
    <col min="8715" max="8715" width="15.85546875" bestFit="1" customWidth="1"/>
    <col min="8716" max="8717" width="0" hidden="1" customWidth="1"/>
    <col min="8718" max="8718" width="46.7109375" bestFit="1" customWidth="1"/>
    <col min="8959" max="8959" width="31" bestFit="1" customWidth="1"/>
    <col min="8960" max="8960" width="11" bestFit="1" customWidth="1"/>
    <col min="8961" max="8961" width="15.42578125" bestFit="1" customWidth="1"/>
    <col min="8962" max="8962" width="13.28515625" bestFit="1" customWidth="1"/>
    <col min="8963" max="8963" width="10.28515625" bestFit="1" customWidth="1"/>
    <col min="8964" max="8964" width="15.7109375" customWidth="1"/>
    <col min="8965" max="8965" width="13.28515625" bestFit="1" customWidth="1"/>
    <col min="8966" max="8966" width="17.85546875" bestFit="1" customWidth="1"/>
    <col min="8967" max="8967" width="15.85546875" bestFit="1" customWidth="1"/>
    <col min="8968" max="8968" width="12.7109375" bestFit="1" customWidth="1"/>
    <col min="8969" max="8969" width="15.28515625" bestFit="1" customWidth="1"/>
    <col min="8970" max="8970" width="15.28515625" customWidth="1"/>
    <col min="8971" max="8971" width="15.85546875" bestFit="1" customWidth="1"/>
    <col min="8972" max="8973" width="0" hidden="1" customWidth="1"/>
    <col min="8974" max="8974" width="46.7109375" bestFit="1" customWidth="1"/>
    <col min="9215" max="9215" width="31" bestFit="1" customWidth="1"/>
    <col min="9216" max="9216" width="11" bestFit="1" customWidth="1"/>
    <col min="9217" max="9217" width="15.42578125" bestFit="1" customWidth="1"/>
    <col min="9218" max="9218" width="13.28515625" bestFit="1" customWidth="1"/>
    <col min="9219" max="9219" width="10.28515625" bestFit="1" customWidth="1"/>
    <col min="9220" max="9220" width="15.7109375" customWidth="1"/>
    <col min="9221" max="9221" width="13.28515625" bestFit="1" customWidth="1"/>
    <col min="9222" max="9222" width="17.85546875" bestFit="1" customWidth="1"/>
    <col min="9223" max="9223" width="15.85546875" bestFit="1" customWidth="1"/>
    <col min="9224" max="9224" width="12.7109375" bestFit="1" customWidth="1"/>
    <col min="9225" max="9225" width="15.28515625" bestFit="1" customWidth="1"/>
    <col min="9226" max="9226" width="15.28515625" customWidth="1"/>
    <col min="9227" max="9227" width="15.85546875" bestFit="1" customWidth="1"/>
    <col min="9228" max="9229" width="0" hidden="1" customWidth="1"/>
    <col min="9230" max="9230" width="46.7109375" bestFit="1" customWidth="1"/>
    <col min="9471" max="9471" width="31" bestFit="1" customWidth="1"/>
    <col min="9472" max="9472" width="11" bestFit="1" customWidth="1"/>
    <col min="9473" max="9473" width="15.42578125" bestFit="1" customWidth="1"/>
    <col min="9474" max="9474" width="13.28515625" bestFit="1" customWidth="1"/>
    <col min="9475" max="9475" width="10.28515625" bestFit="1" customWidth="1"/>
    <col min="9476" max="9476" width="15.7109375" customWidth="1"/>
    <col min="9477" max="9477" width="13.28515625" bestFit="1" customWidth="1"/>
    <col min="9478" max="9478" width="17.85546875" bestFit="1" customWidth="1"/>
    <col min="9479" max="9479" width="15.85546875" bestFit="1" customWidth="1"/>
    <col min="9480" max="9480" width="12.7109375" bestFit="1" customWidth="1"/>
    <col min="9481" max="9481" width="15.28515625" bestFit="1" customWidth="1"/>
    <col min="9482" max="9482" width="15.28515625" customWidth="1"/>
    <col min="9483" max="9483" width="15.85546875" bestFit="1" customWidth="1"/>
    <col min="9484" max="9485" width="0" hidden="1" customWidth="1"/>
    <col min="9486" max="9486" width="46.7109375" bestFit="1" customWidth="1"/>
    <col min="9727" max="9727" width="31" bestFit="1" customWidth="1"/>
    <col min="9728" max="9728" width="11" bestFit="1" customWidth="1"/>
    <col min="9729" max="9729" width="15.42578125" bestFit="1" customWidth="1"/>
    <col min="9730" max="9730" width="13.28515625" bestFit="1" customWidth="1"/>
    <col min="9731" max="9731" width="10.28515625" bestFit="1" customWidth="1"/>
    <col min="9732" max="9732" width="15.7109375" customWidth="1"/>
    <col min="9733" max="9733" width="13.28515625" bestFit="1" customWidth="1"/>
    <col min="9734" max="9734" width="17.85546875" bestFit="1" customWidth="1"/>
    <col min="9735" max="9735" width="15.85546875" bestFit="1" customWidth="1"/>
    <col min="9736" max="9736" width="12.7109375" bestFit="1" customWidth="1"/>
    <col min="9737" max="9737" width="15.28515625" bestFit="1" customWidth="1"/>
    <col min="9738" max="9738" width="15.28515625" customWidth="1"/>
    <col min="9739" max="9739" width="15.85546875" bestFit="1" customWidth="1"/>
    <col min="9740" max="9741" width="0" hidden="1" customWidth="1"/>
    <col min="9742" max="9742" width="46.7109375" bestFit="1" customWidth="1"/>
    <col min="9983" max="9983" width="31" bestFit="1" customWidth="1"/>
    <col min="9984" max="9984" width="11" bestFit="1" customWidth="1"/>
    <col min="9985" max="9985" width="15.42578125" bestFit="1" customWidth="1"/>
    <col min="9986" max="9986" width="13.28515625" bestFit="1" customWidth="1"/>
    <col min="9987" max="9987" width="10.28515625" bestFit="1" customWidth="1"/>
    <col min="9988" max="9988" width="15.7109375" customWidth="1"/>
    <col min="9989" max="9989" width="13.28515625" bestFit="1" customWidth="1"/>
    <col min="9990" max="9990" width="17.85546875" bestFit="1" customWidth="1"/>
    <col min="9991" max="9991" width="15.85546875" bestFit="1" customWidth="1"/>
    <col min="9992" max="9992" width="12.7109375" bestFit="1" customWidth="1"/>
    <col min="9993" max="9993" width="15.28515625" bestFit="1" customWidth="1"/>
    <col min="9994" max="9994" width="15.28515625" customWidth="1"/>
    <col min="9995" max="9995" width="15.85546875" bestFit="1" customWidth="1"/>
    <col min="9996" max="9997" width="0" hidden="1" customWidth="1"/>
    <col min="9998" max="9998" width="46.7109375" bestFit="1" customWidth="1"/>
    <col min="10239" max="10239" width="31" bestFit="1" customWidth="1"/>
    <col min="10240" max="10240" width="11" bestFit="1" customWidth="1"/>
    <col min="10241" max="10241" width="15.42578125" bestFit="1" customWidth="1"/>
    <col min="10242" max="10242" width="13.28515625" bestFit="1" customWidth="1"/>
    <col min="10243" max="10243" width="10.28515625" bestFit="1" customWidth="1"/>
    <col min="10244" max="10244" width="15.7109375" customWidth="1"/>
    <col min="10245" max="10245" width="13.28515625" bestFit="1" customWidth="1"/>
    <col min="10246" max="10246" width="17.85546875" bestFit="1" customWidth="1"/>
    <col min="10247" max="10247" width="15.85546875" bestFit="1" customWidth="1"/>
    <col min="10248" max="10248" width="12.7109375" bestFit="1" customWidth="1"/>
    <col min="10249" max="10249" width="15.28515625" bestFit="1" customWidth="1"/>
    <col min="10250" max="10250" width="15.28515625" customWidth="1"/>
    <col min="10251" max="10251" width="15.85546875" bestFit="1" customWidth="1"/>
    <col min="10252" max="10253" width="0" hidden="1" customWidth="1"/>
    <col min="10254" max="10254" width="46.7109375" bestFit="1" customWidth="1"/>
    <col min="10495" max="10495" width="31" bestFit="1" customWidth="1"/>
    <col min="10496" max="10496" width="11" bestFit="1" customWidth="1"/>
    <col min="10497" max="10497" width="15.42578125" bestFit="1" customWidth="1"/>
    <col min="10498" max="10498" width="13.28515625" bestFit="1" customWidth="1"/>
    <col min="10499" max="10499" width="10.28515625" bestFit="1" customWidth="1"/>
    <col min="10500" max="10500" width="15.7109375" customWidth="1"/>
    <col min="10501" max="10501" width="13.28515625" bestFit="1" customWidth="1"/>
    <col min="10502" max="10502" width="17.85546875" bestFit="1" customWidth="1"/>
    <col min="10503" max="10503" width="15.85546875" bestFit="1" customWidth="1"/>
    <col min="10504" max="10504" width="12.7109375" bestFit="1" customWidth="1"/>
    <col min="10505" max="10505" width="15.28515625" bestFit="1" customWidth="1"/>
    <col min="10506" max="10506" width="15.28515625" customWidth="1"/>
    <col min="10507" max="10507" width="15.85546875" bestFit="1" customWidth="1"/>
    <col min="10508" max="10509" width="0" hidden="1" customWidth="1"/>
    <col min="10510" max="10510" width="46.7109375" bestFit="1" customWidth="1"/>
    <col min="10751" max="10751" width="31" bestFit="1" customWidth="1"/>
    <col min="10752" max="10752" width="11" bestFit="1" customWidth="1"/>
    <col min="10753" max="10753" width="15.42578125" bestFit="1" customWidth="1"/>
    <col min="10754" max="10754" width="13.28515625" bestFit="1" customWidth="1"/>
    <col min="10755" max="10755" width="10.28515625" bestFit="1" customWidth="1"/>
    <col min="10756" max="10756" width="15.7109375" customWidth="1"/>
    <col min="10757" max="10757" width="13.28515625" bestFit="1" customWidth="1"/>
    <col min="10758" max="10758" width="17.85546875" bestFit="1" customWidth="1"/>
    <col min="10759" max="10759" width="15.85546875" bestFit="1" customWidth="1"/>
    <col min="10760" max="10760" width="12.7109375" bestFit="1" customWidth="1"/>
    <col min="10761" max="10761" width="15.28515625" bestFit="1" customWidth="1"/>
    <col min="10762" max="10762" width="15.28515625" customWidth="1"/>
    <col min="10763" max="10763" width="15.85546875" bestFit="1" customWidth="1"/>
    <col min="10764" max="10765" width="0" hidden="1" customWidth="1"/>
    <col min="10766" max="10766" width="46.7109375" bestFit="1" customWidth="1"/>
    <col min="11007" max="11007" width="31" bestFit="1" customWidth="1"/>
    <col min="11008" max="11008" width="11" bestFit="1" customWidth="1"/>
    <col min="11009" max="11009" width="15.42578125" bestFit="1" customWidth="1"/>
    <col min="11010" max="11010" width="13.28515625" bestFit="1" customWidth="1"/>
    <col min="11011" max="11011" width="10.28515625" bestFit="1" customWidth="1"/>
    <col min="11012" max="11012" width="15.7109375" customWidth="1"/>
    <col min="11013" max="11013" width="13.28515625" bestFit="1" customWidth="1"/>
    <col min="11014" max="11014" width="17.85546875" bestFit="1" customWidth="1"/>
    <col min="11015" max="11015" width="15.85546875" bestFit="1" customWidth="1"/>
    <col min="11016" max="11016" width="12.7109375" bestFit="1" customWidth="1"/>
    <col min="11017" max="11017" width="15.28515625" bestFit="1" customWidth="1"/>
    <col min="11018" max="11018" width="15.28515625" customWidth="1"/>
    <col min="11019" max="11019" width="15.85546875" bestFit="1" customWidth="1"/>
    <col min="11020" max="11021" width="0" hidden="1" customWidth="1"/>
    <col min="11022" max="11022" width="46.7109375" bestFit="1" customWidth="1"/>
    <col min="11263" max="11263" width="31" bestFit="1" customWidth="1"/>
    <col min="11264" max="11264" width="11" bestFit="1" customWidth="1"/>
    <col min="11265" max="11265" width="15.42578125" bestFit="1" customWidth="1"/>
    <col min="11266" max="11266" width="13.28515625" bestFit="1" customWidth="1"/>
    <col min="11267" max="11267" width="10.28515625" bestFit="1" customWidth="1"/>
    <col min="11268" max="11268" width="15.7109375" customWidth="1"/>
    <col min="11269" max="11269" width="13.28515625" bestFit="1" customWidth="1"/>
    <col min="11270" max="11270" width="17.85546875" bestFit="1" customWidth="1"/>
    <col min="11271" max="11271" width="15.85546875" bestFit="1" customWidth="1"/>
    <col min="11272" max="11272" width="12.7109375" bestFit="1" customWidth="1"/>
    <col min="11273" max="11273" width="15.28515625" bestFit="1" customWidth="1"/>
    <col min="11274" max="11274" width="15.28515625" customWidth="1"/>
    <col min="11275" max="11275" width="15.85546875" bestFit="1" customWidth="1"/>
    <col min="11276" max="11277" width="0" hidden="1" customWidth="1"/>
    <col min="11278" max="11278" width="46.7109375" bestFit="1" customWidth="1"/>
    <col min="11519" max="11519" width="31" bestFit="1" customWidth="1"/>
    <col min="11520" max="11520" width="11" bestFit="1" customWidth="1"/>
    <col min="11521" max="11521" width="15.42578125" bestFit="1" customWidth="1"/>
    <col min="11522" max="11522" width="13.28515625" bestFit="1" customWidth="1"/>
    <col min="11523" max="11523" width="10.28515625" bestFit="1" customWidth="1"/>
    <col min="11524" max="11524" width="15.7109375" customWidth="1"/>
    <col min="11525" max="11525" width="13.28515625" bestFit="1" customWidth="1"/>
    <col min="11526" max="11526" width="17.85546875" bestFit="1" customWidth="1"/>
    <col min="11527" max="11527" width="15.85546875" bestFit="1" customWidth="1"/>
    <col min="11528" max="11528" width="12.7109375" bestFit="1" customWidth="1"/>
    <col min="11529" max="11529" width="15.28515625" bestFit="1" customWidth="1"/>
    <col min="11530" max="11530" width="15.28515625" customWidth="1"/>
    <col min="11531" max="11531" width="15.85546875" bestFit="1" customWidth="1"/>
    <col min="11532" max="11533" width="0" hidden="1" customWidth="1"/>
    <col min="11534" max="11534" width="46.7109375" bestFit="1" customWidth="1"/>
    <col min="11775" max="11775" width="31" bestFit="1" customWidth="1"/>
    <col min="11776" max="11776" width="11" bestFit="1" customWidth="1"/>
    <col min="11777" max="11777" width="15.42578125" bestFit="1" customWidth="1"/>
    <col min="11778" max="11778" width="13.28515625" bestFit="1" customWidth="1"/>
    <col min="11779" max="11779" width="10.28515625" bestFit="1" customWidth="1"/>
    <col min="11780" max="11780" width="15.7109375" customWidth="1"/>
    <col min="11781" max="11781" width="13.28515625" bestFit="1" customWidth="1"/>
    <col min="11782" max="11782" width="17.85546875" bestFit="1" customWidth="1"/>
    <col min="11783" max="11783" width="15.85546875" bestFit="1" customWidth="1"/>
    <col min="11784" max="11784" width="12.7109375" bestFit="1" customWidth="1"/>
    <col min="11785" max="11785" width="15.28515625" bestFit="1" customWidth="1"/>
    <col min="11786" max="11786" width="15.28515625" customWidth="1"/>
    <col min="11787" max="11787" width="15.85546875" bestFit="1" customWidth="1"/>
    <col min="11788" max="11789" width="0" hidden="1" customWidth="1"/>
    <col min="11790" max="11790" width="46.7109375" bestFit="1" customWidth="1"/>
    <col min="12031" max="12031" width="31" bestFit="1" customWidth="1"/>
    <col min="12032" max="12032" width="11" bestFit="1" customWidth="1"/>
    <col min="12033" max="12033" width="15.42578125" bestFit="1" customWidth="1"/>
    <col min="12034" max="12034" width="13.28515625" bestFit="1" customWidth="1"/>
    <col min="12035" max="12035" width="10.28515625" bestFit="1" customWidth="1"/>
    <col min="12036" max="12036" width="15.7109375" customWidth="1"/>
    <col min="12037" max="12037" width="13.28515625" bestFit="1" customWidth="1"/>
    <col min="12038" max="12038" width="17.85546875" bestFit="1" customWidth="1"/>
    <col min="12039" max="12039" width="15.85546875" bestFit="1" customWidth="1"/>
    <col min="12040" max="12040" width="12.7109375" bestFit="1" customWidth="1"/>
    <col min="12041" max="12041" width="15.28515625" bestFit="1" customWidth="1"/>
    <col min="12042" max="12042" width="15.28515625" customWidth="1"/>
    <col min="12043" max="12043" width="15.85546875" bestFit="1" customWidth="1"/>
    <col min="12044" max="12045" width="0" hidden="1" customWidth="1"/>
    <col min="12046" max="12046" width="46.7109375" bestFit="1" customWidth="1"/>
    <col min="12287" max="12287" width="31" bestFit="1" customWidth="1"/>
    <col min="12288" max="12288" width="11" bestFit="1" customWidth="1"/>
    <col min="12289" max="12289" width="15.42578125" bestFit="1" customWidth="1"/>
    <col min="12290" max="12290" width="13.28515625" bestFit="1" customWidth="1"/>
    <col min="12291" max="12291" width="10.28515625" bestFit="1" customWidth="1"/>
    <col min="12292" max="12292" width="15.7109375" customWidth="1"/>
    <col min="12293" max="12293" width="13.28515625" bestFit="1" customWidth="1"/>
    <col min="12294" max="12294" width="17.85546875" bestFit="1" customWidth="1"/>
    <col min="12295" max="12295" width="15.85546875" bestFit="1" customWidth="1"/>
    <col min="12296" max="12296" width="12.7109375" bestFit="1" customWidth="1"/>
    <col min="12297" max="12297" width="15.28515625" bestFit="1" customWidth="1"/>
    <col min="12298" max="12298" width="15.28515625" customWidth="1"/>
    <col min="12299" max="12299" width="15.85546875" bestFit="1" customWidth="1"/>
    <col min="12300" max="12301" width="0" hidden="1" customWidth="1"/>
    <col min="12302" max="12302" width="46.7109375" bestFit="1" customWidth="1"/>
    <col min="12543" max="12543" width="31" bestFit="1" customWidth="1"/>
    <col min="12544" max="12544" width="11" bestFit="1" customWidth="1"/>
    <col min="12545" max="12545" width="15.42578125" bestFit="1" customWidth="1"/>
    <col min="12546" max="12546" width="13.28515625" bestFit="1" customWidth="1"/>
    <col min="12547" max="12547" width="10.28515625" bestFit="1" customWidth="1"/>
    <col min="12548" max="12548" width="15.7109375" customWidth="1"/>
    <col min="12549" max="12549" width="13.28515625" bestFit="1" customWidth="1"/>
    <col min="12550" max="12550" width="17.85546875" bestFit="1" customWidth="1"/>
    <col min="12551" max="12551" width="15.85546875" bestFit="1" customWidth="1"/>
    <col min="12552" max="12552" width="12.7109375" bestFit="1" customWidth="1"/>
    <col min="12553" max="12553" width="15.28515625" bestFit="1" customWidth="1"/>
    <col min="12554" max="12554" width="15.28515625" customWidth="1"/>
    <col min="12555" max="12555" width="15.85546875" bestFit="1" customWidth="1"/>
    <col min="12556" max="12557" width="0" hidden="1" customWidth="1"/>
    <col min="12558" max="12558" width="46.7109375" bestFit="1" customWidth="1"/>
    <col min="12799" max="12799" width="31" bestFit="1" customWidth="1"/>
    <col min="12800" max="12800" width="11" bestFit="1" customWidth="1"/>
    <col min="12801" max="12801" width="15.42578125" bestFit="1" customWidth="1"/>
    <col min="12802" max="12802" width="13.28515625" bestFit="1" customWidth="1"/>
    <col min="12803" max="12803" width="10.28515625" bestFit="1" customWidth="1"/>
    <col min="12804" max="12804" width="15.7109375" customWidth="1"/>
    <col min="12805" max="12805" width="13.28515625" bestFit="1" customWidth="1"/>
    <col min="12806" max="12806" width="17.85546875" bestFit="1" customWidth="1"/>
    <col min="12807" max="12807" width="15.85546875" bestFit="1" customWidth="1"/>
    <col min="12808" max="12808" width="12.7109375" bestFit="1" customWidth="1"/>
    <col min="12809" max="12809" width="15.28515625" bestFit="1" customWidth="1"/>
    <col min="12810" max="12810" width="15.28515625" customWidth="1"/>
    <col min="12811" max="12811" width="15.85546875" bestFit="1" customWidth="1"/>
    <col min="12812" max="12813" width="0" hidden="1" customWidth="1"/>
    <col min="12814" max="12814" width="46.7109375" bestFit="1" customWidth="1"/>
    <col min="13055" max="13055" width="31" bestFit="1" customWidth="1"/>
    <col min="13056" max="13056" width="11" bestFit="1" customWidth="1"/>
    <col min="13057" max="13057" width="15.42578125" bestFit="1" customWidth="1"/>
    <col min="13058" max="13058" width="13.28515625" bestFit="1" customWidth="1"/>
    <col min="13059" max="13059" width="10.28515625" bestFit="1" customWidth="1"/>
    <col min="13060" max="13060" width="15.7109375" customWidth="1"/>
    <col min="13061" max="13061" width="13.28515625" bestFit="1" customWidth="1"/>
    <col min="13062" max="13062" width="17.85546875" bestFit="1" customWidth="1"/>
    <col min="13063" max="13063" width="15.85546875" bestFit="1" customWidth="1"/>
    <col min="13064" max="13064" width="12.7109375" bestFit="1" customWidth="1"/>
    <col min="13065" max="13065" width="15.28515625" bestFit="1" customWidth="1"/>
    <col min="13066" max="13066" width="15.28515625" customWidth="1"/>
    <col min="13067" max="13067" width="15.85546875" bestFit="1" customWidth="1"/>
    <col min="13068" max="13069" width="0" hidden="1" customWidth="1"/>
    <col min="13070" max="13070" width="46.7109375" bestFit="1" customWidth="1"/>
    <col min="13311" max="13311" width="31" bestFit="1" customWidth="1"/>
    <col min="13312" max="13312" width="11" bestFit="1" customWidth="1"/>
    <col min="13313" max="13313" width="15.42578125" bestFit="1" customWidth="1"/>
    <col min="13314" max="13314" width="13.28515625" bestFit="1" customWidth="1"/>
    <col min="13315" max="13315" width="10.28515625" bestFit="1" customWidth="1"/>
    <col min="13316" max="13316" width="15.7109375" customWidth="1"/>
    <col min="13317" max="13317" width="13.28515625" bestFit="1" customWidth="1"/>
    <col min="13318" max="13318" width="17.85546875" bestFit="1" customWidth="1"/>
    <col min="13319" max="13319" width="15.85546875" bestFit="1" customWidth="1"/>
    <col min="13320" max="13320" width="12.7109375" bestFit="1" customWidth="1"/>
    <col min="13321" max="13321" width="15.28515625" bestFit="1" customWidth="1"/>
    <col min="13322" max="13322" width="15.28515625" customWidth="1"/>
    <col min="13323" max="13323" width="15.85546875" bestFit="1" customWidth="1"/>
    <col min="13324" max="13325" width="0" hidden="1" customWidth="1"/>
    <col min="13326" max="13326" width="46.7109375" bestFit="1" customWidth="1"/>
    <col min="13567" max="13567" width="31" bestFit="1" customWidth="1"/>
    <col min="13568" max="13568" width="11" bestFit="1" customWidth="1"/>
    <col min="13569" max="13569" width="15.42578125" bestFit="1" customWidth="1"/>
    <col min="13570" max="13570" width="13.28515625" bestFit="1" customWidth="1"/>
    <col min="13571" max="13571" width="10.28515625" bestFit="1" customWidth="1"/>
    <col min="13572" max="13572" width="15.7109375" customWidth="1"/>
    <col min="13573" max="13573" width="13.28515625" bestFit="1" customWidth="1"/>
    <col min="13574" max="13574" width="17.85546875" bestFit="1" customWidth="1"/>
    <col min="13575" max="13575" width="15.85546875" bestFit="1" customWidth="1"/>
    <col min="13576" max="13576" width="12.7109375" bestFit="1" customWidth="1"/>
    <col min="13577" max="13577" width="15.28515625" bestFit="1" customWidth="1"/>
    <col min="13578" max="13578" width="15.28515625" customWidth="1"/>
    <col min="13579" max="13579" width="15.85546875" bestFit="1" customWidth="1"/>
    <col min="13580" max="13581" width="0" hidden="1" customWidth="1"/>
    <col min="13582" max="13582" width="46.7109375" bestFit="1" customWidth="1"/>
    <col min="13823" max="13823" width="31" bestFit="1" customWidth="1"/>
    <col min="13824" max="13824" width="11" bestFit="1" customWidth="1"/>
    <col min="13825" max="13825" width="15.42578125" bestFit="1" customWidth="1"/>
    <col min="13826" max="13826" width="13.28515625" bestFit="1" customWidth="1"/>
    <col min="13827" max="13827" width="10.28515625" bestFit="1" customWidth="1"/>
    <col min="13828" max="13828" width="15.7109375" customWidth="1"/>
    <col min="13829" max="13829" width="13.28515625" bestFit="1" customWidth="1"/>
    <col min="13830" max="13830" width="17.85546875" bestFit="1" customWidth="1"/>
    <col min="13831" max="13831" width="15.85546875" bestFit="1" customWidth="1"/>
    <col min="13832" max="13832" width="12.7109375" bestFit="1" customWidth="1"/>
    <col min="13833" max="13833" width="15.28515625" bestFit="1" customWidth="1"/>
    <col min="13834" max="13834" width="15.28515625" customWidth="1"/>
    <col min="13835" max="13835" width="15.85546875" bestFit="1" customWidth="1"/>
    <col min="13836" max="13837" width="0" hidden="1" customWidth="1"/>
    <col min="13838" max="13838" width="46.7109375" bestFit="1" customWidth="1"/>
    <col min="14079" max="14079" width="31" bestFit="1" customWidth="1"/>
    <col min="14080" max="14080" width="11" bestFit="1" customWidth="1"/>
    <col min="14081" max="14081" width="15.42578125" bestFit="1" customWidth="1"/>
    <col min="14082" max="14082" width="13.28515625" bestFit="1" customWidth="1"/>
    <col min="14083" max="14083" width="10.28515625" bestFit="1" customWidth="1"/>
    <col min="14084" max="14084" width="15.7109375" customWidth="1"/>
    <col min="14085" max="14085" width="13.28515625" bestFit="1" customWidth="1"/>
    <col min="14086" max="14086" width="17.85546875" bestFit="1" customWidth="1"/>
    <col min="14087" max="14087" width="15.85546875" bestFit="1" customWidth="1"/>
    <col min="14088" max="14088" width="12.7109375" bestFit="1" customWidth="1"/>
    <col min="14089" max="14089" width="15.28515625" bestFit="1" customWidth="1"/>
    <col min="14090" max="14090" width="15.28515625" customWidth="1"/>
    <col min="14091" max="14091" width="15.85546875" bestFit="1" customWidth="1"/>
    <col min="14092" max="14093" width="0" hidden="1" customWidth="1"/>
    <col min="14094" max="14094" width="46.7109375" bestFit="1" customWidth="1"/>
    <col min="14335" max="14335" width="31" bestFit="1" customWidth="1"/>
    <col min="14336" max="14336" width="11" bestFit="1" customWidth="1"/>
    <col min="14337" max="14337" width="15.42578125" bestFit="1" customWidth="1"/>
    <col min="14338" max="14338" width="13.28515625" bestFit="1" customWidth="1"/>
    <col min="14339" max="14339" width="10.28515625" bestFit="1" customWidth="1"/>
    <col min="14340" max="14340" width="15.7109375" customWidth="1"/>
    <col min="14341" max="14341" width="13.28515625" bestFit="1" customWidth="1"/>
    <col min="14342" max="14342" width="17.85546875" bestFit="1" customWidth="1"/>
    <col min="14343" max="14343" width="15.85546875" bestFit="1" customWidth="1"/>
    <col min="14344" max="14344" width="12.7109375" bestFit="1" customWidth="1"/>
    <col min="14345" max="14345" width="15.28515625" bestFit="1" customWidth="1"/>
    <col min="14346" max="14346" width="15.28515625" customWidth="1"/>
    <col min="14347" max="14347" width="15.85546875" bestFit="1" customWidth="1"/>
    <col min="14348" max="14349" width="0" hidden="1" customWidth="1"/>
    <col min="14350" max="14350" width="46.7109375" bestFit="1" customWidth="1"/>
    <col min="14591" max="14591" width="31" bestFit="1" customWidth="1"/>
    <col min="14592" max="14592" width="11" bestFit="1" customWidth="1"/>
    <col min="14593" max="14593" width="15.42578125" bestFit="1" customWidth="1"/>
    <col min="14594" max="14594" width="13.28515625" bestFit="1" customWidth="1"/>
    <col min="14595" max="14595" width="10.28515625" bestFit="1" customWidth="1"/>
    <col min="14596" max="14596" width="15.7109375" customWidth="1"/>
    <col min="14597" max="14597" width="13.28515625" bestFit="1" customWidth="1"/>
    <col min="14598" max="14598" width="17.85546875" bestFit="1" customWidth="1"/>
    <col min="14599" max="14599" width="15.85546875" bestFit="1" customWidth="1"/>
    <col min="14600" max="14600" width="12.7109375" bestFit="1" customWidth="1"/>
    <col min="14601" max="14601" width="15.28515625" bestFit="1" customWidth="1"/>
    <col min="14602" max="14602" width="15.28515625" customWidth="1"/>
    <col min="14603" max="14603" width="15.85546875" bestFit="1" customWidth="1"/>
    <col min="14604" max="14605" width="0" hidden="1" customWidth="1"/>
    <col min="14606" max="14606" width="46.7109375" bestFit="1" customWidth="1"/>
    <col min="14847" max="14847" width="31" bestFit="1" customWidth="1"/>
    <col min="14848" max="14848" width="11" bestFit="1" customWidth="1"/>
    <col min="14849" max="14849" width="15.42578125" bestFit="1" customWidth="1"/>
    <col min="14850" max="14850" width="13.28515625" bestFit="1" customWidth="1"/>
    <col min="14851" max="14851" width="10.28515625" bestFit="1" customWidth="1"/>
    <col min="14852" max="14852" width="15.7109375" customWidth="1"/>
    <col min="14853" max="14853" width="13.28515625" bestFit="1" customWidth="1"/>
    <col min="14854" max="14854" width="17.85546875" bestFit="1" customWidth="1"/>
    <col min="14855" max="14855" width="15.85546875" bestFit="1" customWidth="1"/>
    <col min="14856" max="14856" width="12.7109375" bestFit="1" customWidth="1"/>
    <col min="14857" max="14857" width="15.28515625" bestFit="1" customWidth="1"/>
    <col min="14858" max="14858" width="15.28515625" customWidth="1"/>
    <col min="14859" max="14859" width="15.85546875" bestFit="1" customWidth="1"/>
    <col min="14860" max="14861" width="0" hidden="1" customWidth="1"/>
    <col min="14862" max="14862" width="46.7109375" bestFit="1" customWidth="1"/>
    <col min="15103" max="15103" width="31" bestFit="1" customWidth="1"/>
    <col min="15104" max="15104" width="11" bestFit="1" customWidth="1"/>
    <col min="15105" max="15105" width="15.42578125" bestFit="1" customWidth="1"/>
    <col min="15106" max="15106" width="13.28515625" bestFit="1" customWidth="1"/>
    <col min="15107" max="15107" width="10.28515625" bestFit="1" customWidth="1"/>
    <col min="15108" max="15108" width="15.7109375" customWidth="1"/>
    <col min="15109" max="15109" width="13.28515625" bestFit="1" customWidth="1"/>
    <col min="15110" max="15110" width="17.85546875" bestFit="1" customWidth="1"/>
    <col min="15111" max="15111" width="15.85546875" bestFit="1" customWidth="1"/>
    <col min="15112" max="15112" width="12.7109375" bestFit="1" customWidth="1"/>
    <col min="15113" max="15113" width="15.28515625" bestFit="1" customWidth="1"/>
    <col min="15114" max="15114" width="15.28515625" customWidth="1"/>
    <col min="15115" max="15115" width="15.85546875" bestFit="1" customWidth="1"/>
    <col min="15116" max="15117" width="0" hidden="1" customWidth="1"/>
    <col min="15118" max="15118" width="46.7109375" bestFit="1" customWidth="1"/>
    <col min="15359" max="15359" width="31" bestFit="1" customWidth="1"/>
    <col min="15360" max="15360" width="11" bestFit="1" customWidth="1"/>
    <col min="15361" max="15361" width="15.42578125" bestFit="1" customWidth="1"/>
    <col min="15362" max="15362" width="13.28515625" bestFit="1" customWidth="1"/>
    <col min="15363" max="15363" width="10.28515625" bestFit="1" customWidth="1"/>
    <col min="15364" max="15364" width="15.7109375" customWidth="1"/>
    <col min="15365" max="15365" width="13.28515625" bestFit="1" customWidth="1"/>
    <col min="15366" max="15366" width="17.85546875" bestFit="1" customWidth="1"/>
    <col min="15367" max="15367" width="15.85546875" bestFit="1" customWidth="1"/>
    <col min="15368" max="15368" width="12.7109375" bestFit="1" customWidth="1"/>
    <col min="15369" max="15369" width="15.28515625" bestFit="1" customWidth="1"/>
    <col min="15370" max="15370" width="15.28515625" customWidth="1"/>
    <col min="15371" max="15371" width="15.85546875" bestFit="1" customWidth="1"/>
    <col min="15372" max="15373" width="0" hidden="1" customWidth="1"/>
    <col min="15374" max="15374" width="46.7109375" bestFit="1" customWidth="1"/>
    <col min="15615" max="15615" width="31" bestFit="1" customWidth="1"/>
    <col min="15616" max="15616" width="11" bestFit="1" customWidth="1"/>
    <col min="15617" max="15617" width="15.42578125" bestFit="1" customWidth="1"/>
    <col min="15618" max="15618" width="13.28515625" bestFit="1" customWidth="1"/>
    <col min="15619" max="15619" width="10.28515625" bestFit="1" customWidth="1"/>
    <col min="15620" max="15620" width="15.7109375" customWidth="1"/>
    <col min="15621" max="15621" width="13.28515625" bestFit="1" customWidth="1"/>
    <col min="15622" max="15622" width="17.85546875" bestFit="1" customWidth="1"/>
    <col min="15623" max="15623" width="15.85546875" bestFit="1" customWidth="1"/>
    <col min="15624" max="15624" width="12.7109375" bestFit="1" customWidth="1"/>
    <col min="15625" max="15625" width="15.28515625" bestFit="1" customWidth="1"/>
    <col min="15626" max="15626" width="15.28515625" customWidth="1"/>
    <col min="15627" max="15627" width="15.85546875" bestFit="1" customWidth="1"/>
    <col min="15628" max="15629" width="0" hidden="1" customWidth="1"/>
    <col min="15630" max="15630" width="46.7109375" bestFit="1" customWidth="1"/>
    <col min="15871" max="15871" width="31" bestFit="1" customWidth="1"/>
    <col min="15872" max="15872" width="11" bestFit="1" customWidth="1"/>
    <col min="15873" max="15873" width="15.42578125" bestFit="1" customWidth="1"/>
    <col min="15874" max="15874" width="13.28515625" bestFit="1" customWidth="1"/>
    <col min="15875" max="15875" width="10.28515625" bestFit="1" customWidth="1"/>
    <col min="15876" max="15876" width="15.7109375" customWidth="1"/>
    <col min="15877" max="15877" width="13.28515625" bestFit="1" customWidth="1"/>
    <col min="15878" max="15878" width="17.85546875" bestFit="1" customWidth="1"/>
    <col min="15879" max="15879" width="15.85546875" bestFit="1" customWidth="1"/>
    <col min="15880" max="15880" width="12.7109375" bestFit="1" customWidth="1"/>
    <col min="15881" max="15881" width="15.28515625" bestFit="1" customWidth="1"/>
    <col min="15882" max="15882" width="15.28515625" customWidth="1"/>
    <col min="15883" max="15883" width="15.85546875" bestFit="1" customWidth="1"/>
    <col min="15884" max="15885" width="0" hidden="1" customWidth="1"/>
    <col min="15886" max="15886" width="46.7109375" bestFit="1" customWidth="1"/>
    <col min="16127" max="16127" width="31" bestFit="1" customWidth="1"/>
    <col min="16128" max="16128" width="11" bestFit="1" customWidth="1"/>
    <col min="16129" max="16129" width="15.42578125" bestFit="1" customWidth="1"/>
    <col min="16130" max="16130" width="13.28515625" bestFit="1" customWidth="1"/>
    <col min="16131" max="16131" width="10.28515625" bestFit="1" customWidth="1"/>
    <col min="16132" max="16132" width="15.7109375" customWidth="1"/>
    <col min="16133" max="16133" width="13.28515625" bestFit="1" customWidth="1"/>
    <col min="16134" max="16134" width="17.85546875" bestFit="1" customWidth="1"/>
    <col min="16135" max="16135" width="15.85546875" bestFit="1" customWidth="1"/>
    <col min="16136" max="16136" width="12.7109375" bestFit="1" customWidth="1"/>
    <col min="16137" max="16137" width="15.28515625" bestFit="1" customWidth="1"/>
    <col min="16138" max="16138" width="15.28515625" customWidth="1"/>
    <col min="16139" max="16139" width="15.85546875" bestFit="1" customWidth="1"/>
    <col min="16140" max="16141" width="0" hidden="1" customWidth="1"/>
    <col min="16142" max="16142" width="46.7109375" bestFit="1" customWidth="1"/>
  </cols>
  <sheetData>
    <row r="1" spans="1:15" s="1" customFormat="1" ht="33" customHeight="1" thickBot="1" x14ac:dyDescent="0.3">
      <c r="B1" s="337" t="s">
        <v>0</v>
      </c>
      <c r="C1" s="338"/>
      <c r="D1" s="339"/>
      <c r="E1" s="349" t="s">
        <v>1</v>
      </c>
      <c r="F1" s="350"/>
      <c r="G1" s="351"/>
      <c r="H1" s="343" t="s">
        <v>2</v>
      </c>
      <c r="I1" s="344"/>
      <c r="J1" s="345"/>
      <c r="K1" s="352" t="s">
        <v>3</v>
      </c>
      <c r="L1" s="353"/>
      <c r="M1" s="354"/>
      <c r="N1" s="2"/>
    </row>
    <row r="2" spans="1:15" s="14" customFormat="1" ht="45.75" thickBot="1" x14ac:dyDescent="0.3">
      <c r="A2" s="3" t="s">
        <v>4</v>
      </c>
      <c r="B2" s="4" t="s">
        <v>5</v>
      </c>
      <c r="C2" s="5" t="s">
        <v>6</v>
      </c>
      <c r="D2" s="6" t="s">
        <v>7</v>
      </c>
      <c r="E2" s="7" t="s">
        <v>5</v>
      </c>
      <c r="F2" s="8" t="s">
        <v>6</v>
      </c>
      <c r="G2" s="6" t="s">
        <v>7</v>
      </c>
      <c r="H2" s="9" t="s">
        <v>8</v>
      </c>
      <c r="I2" s="10" t="s">
        <v>9</v>
      </c>
      <c r="J2" s="11" t="s">
        <v>10</v>
      </c>
      <c r="K2" s="9" t="s">
        <v>11</v>
      </c>
      <c r="L2" s="12" t="s">
        <v>12</v>
      </c>
      <c r="M2" s="11" t="s">
        <v>13</v>
      </c>
      <c r="N2" s="13" t="s">
        <v>15</v>
      </c>
    </row>
    <row r="3" spans="1:15" x14ac:dyDescent="0.25">
      <c r="A3" s="15" t="s">
        <v>16</v>
      </c>
      <c r="B3" s="16" t="s">
        <v>17</v>
      </c>
      <c r="C3" s="17" t="s">
        <v>18</v>
      </c>
      <c r="D3" s="18" t="s">
        <v>14</v>
      </c>
      <c r="E3" s="19" t="s">
        <v>17</v>
      </c>
      <c r="F3" s="20" t="s">
        <v>18</v>
      </c>
      <c r="G3" s="21" t="s">
        <v>14</v>
      </c>
      <c r="H3" s="22">
        <v>1212948</v>
      </c>
      <c r="I3" s="23">
        <v>363148</v>
      </c>
      <c r="J3" s="24">
        <f t="shared" ref="J3:J8" si="0">+I3+H3</f>
        <v>1576096</v>
      </c>
      <c r="K3" s="25">
        <f t="shared" ref="K3:K8" si="1">-J3*0.1</f>
        <v>-157609.60000000001</v>
      </c>
      <c r="L3" s="26">
        <v>0</v>
      </c>
      <c r="M3" s="27">
        <v>0</v>
      </c>
      <c r="N3" s="28" t="s">
        <v>19</v>
      </c>
      <c r="O3" s="29" t="s">
        <v>20</v>
      </c>
    </row>
    <row r="4" spans="1:15" s="29" customFormat="1" x14ac:dyDescent="0.25">
      <c r="A4" s="30" t="s">
        <v>21</v>
      </c>
      <c r="B4" s="31" t="s">
        <v>17</v>
      </c>
      <c r="C4" s="32" t="s">
        <v>22</v>
      </c>
      <c r="D4" s="33" t="s">
        <v>14</v>
      </c>
      <c r="E4" s="19" t="s">
        <v>17</v>
      </c>
      <c r="F4" s="32" t="s">
        <v>22</v>
      </c>
      <c r="G4" s="21" t="s">
        <v>14</v>
      </c>
      <c r="H4" s="34">
        <v>53440</v>
      </c>
      <c r="I4" s="35">
        <v>33698</v>
      </c>
      <c r="J4" s="36">
        <f t="shared" si="0"/>
        <v>87138</v>
      </c>
      <c r="K4" s="25">
        <f t="shared" si="1"/>
        <v>-8713.8000000000011</v>
      </c>
      <c r="L4" s="37">
        <v>0</v>
      </c>
      <c r="M4" s="38">
        <v>0</v>
      </c>
      <c r="N4" s="39" t="s">
        <v>19</v>
      </c>
      <c r="O4" s="29" t="s">
        <v>20</v>
      </c>
    </row>
    <row r="5" spans="1:15" s="29" customFormat="1" x14ac:dyDescent="0.25">
      <c r="A5" s="30" t="s">
        <v>23</v>
      </c>
      <c r="B5" s="31" t="s">
        <v>17</v>
      </c>
      <c r="C5" s="32" t="s">
        <v>24</v>
      </c>
      <c r="D5" s="33" t="s">
        <v>14</v>
      </c>
      <c r="E5" s="19" t="s">
        <v>17</v>
      </c>
      <c r="F5" s="20" t="s">
        <v>24</v>
      </c>
      <c r="G5" s="21" t="s">
        <v>14</v>
      </c>
      <c r="H5" s="34">
        <v>2929</v>
      </c>
      <c r="I5" s="35">
        <v>326</v>
      </c>
      <c r="J5" s="36">
        <f t="shared" si="0"/>
        <v>3255</v>
      </c>
      <c r="K5" s="25">
        <f t="shared" si="1"/>
        <v>-325.5</v>
      </c>
      <c r="L5" s="37">
        <v>0</v>
      </c>
      <c r="M5" s="38">
        <v>0</v>
      </c>
      <c r="N5" s="39" t="s">
        <v>19</v>
      </c>
      <c r="O5" s="29" t="s">
        <v>20</v>
      </c>
    </row>
    <row r="6" spans="1:15" s="29" customFormat="1" x14ac:dyDescent="0.25">
      <c r="A6" s="30" t="s">
        <v>25</v>
      </c>
      <c r="B6" s="31" t="s">
        <v>17</v>
      </c>
      <c r="C6" s="32" t="s">
        <v>26</v>
      </c>
      <c r="D6" s="33" t="s">
        <v>14</v>
      </c>
      <c r="E6" s="19" t="s">
        <v>17</v>
      </c>
      <c r="F6" s="20" t="s">
        <v>26</v>
      </c>
      <c r="G6" s="21" t="s">
        <v>14</v>
      </c>
      <c r="H6" s="34">
        <v>117429</v>
      </c>
      <c r="I6" s="35">
        <v>0</v>
      </c>
      <c r="J6" s="36">
        <f t="shared" si="0"/>
        <v>117429</v>
      </c>
      <c r="K6" s="25">
        <f t="shared" si="1"/>
        <v>-11742.900000000001</v>
      </c>
      <c r="L6" s="37">
        <v>0</v>
      </c>
      <c r="M6" s="38">
        <v>0</v>
      </c>
      <c r="N6" s="39" t="s">
        <v>19</v>
      </c>
      <c r="O6" s="29" t="s">
        <v>20</v>
      </c>
    </row>
    <row r="7" spans="1:15" s="29" customFormat="1" x14ac:dyDescent="0.25">
      <c r="A7" s="30" t="s">
        <v>25</v>
      </c>
      <c r="B7" s="31" t="s">
        <v>27</v>
      </c>
      <c r="C7" s="32" t="s">
        <v>24</v>
      </c>
      <c r="D7" s="33" t="s">
        <v>14</v>
      </c>
      <c r="E7" s="31" t="s">
        <v>27</v>
      </c>
      <c r="F7" s="32" t="s">
        <v>24</v>
      </c>
      <c r="G7" s="21" t="s">
        <v>14</v>
      </c>
      <c r="H7" s="34">
        <v>1773.58</v>
      </c>
      <c r="I7" s="35">
        <v>884</v>
      </c>
      <c r="J7" s="36">
        <f t="shared" si="0"/>
        <v>2657.58</v>
      </c>
      <c r="K7" s="25">
        <f t="shared" si="1"/>
        <v>-265.75799999999998</v>
      </c>
      <c r="L7" s="37">
        <v>0</v>
      </c>
      <c r="M7" s="38">
        <v>0</v>
      </c>
      <c r="N7" s="39" t="s">
        <v>19</v>
      </c>
      <c r="O7" s="29" t="s">
        <v>20</v>
      </c>
    </row>
    <row r="8" spans="1:15" s="29" customFormat="1" x14ac:dyDescent="0.25">
      <c r="A8" s="30" t="s">
        <v>212</v>
      </c>
      <c r="B8" s="31" t="s">
        <v>211</v>
      </c>
      <c r="C8" s="32" t="str">
        <f>[1]Summary!C5</f>
        <v>I</v>
      </c>
      <c r="D8" s="33" t="s">
        <v>14</v>
      </c>
      <c r="E8" s="19" t="str">
        <f>B8</f>
        <v>RRCS421G</v>
      </c>
      <c r="F8" s="40" t="str">
        <f>C8</f>
        <v>I</v>
      </c>
      <c r="G8" s="21" t="str">
        <f>D8</f>
        <v>CAPEX</v>
      </c>
      <c r="H8" s="34">
        <v>12207</v>
      </c>
      <c r="I8" s="35">
        <v>11514</v>
      </c>
      <c r="J8" s="36">
        <f t="shared" si="0"/>
        <v>23721</v>
      </c>
      <c r="K8" s="25">
        <f t="shared" si="1"/>
        <v>-2372.1</v>
      </c>
      <c r="L8" s="37">
        <v>0</v>
      </c>
      <c r="M8" s="38">
        <v>0</v>
      </c>
      <c r="N8" s="39"/>
    </row>
    <row r="9" spans="1:15" x14ac:dyDescent="0.25">
      <c r="A9" s="41" t="s">
        <v>28</v>
      </c>
      <c r="B9" s="42"/>
      <c r="C9" s="43"/>
      <c r="D9" s="44"/>
      <c r="E9" s="42"/>
      <c r="F9" s="45"/>
      <c r="G9" s="44"/>
      <c r="H9" s="46"/>
      <c r="I9" s="47"/>
      <c r="J9" s="48"/>
      <c r="K9" s="49"/>
      <c r="L9" s="50"/>
      <c r="M9" s="51"/>
      <c r="N9" s="52"/>
    </row>
    <row r="10" spans="1:15" x14ac:dyDescent="0.25">
      <c r="A10" s="53" t="s">
        <v>29</v>
      </c>
      <c r="B10" s="54" t="s">
        <v>30</v>
      </c>
      <c r="C10" s="55" t="s">
        <v>30</v>
      </c>
      <c r="D10" s="56" t="s">
        <v>30</v>
      </c>
      <c r="E10" s="57" t="s">
        <v>31</v>
      </c>
      <c r="F10" s="58" t="s">
        <v>31</v>
      </c>
      <c r="G10" s="21" t="s">
        <v>14</v>
      </c>
      <c r="H10" s="59">
        <v>0</v>
      </c>
      <c r="I10" s="60">
        <v>0</v>
      </c>
      <c r="J10" s="61">
        <f t="shared" ref="J10:J16" si="2">+I10+H10</f>
        <v>0</v>
      </c>
      <c r="K10" s="62">
        <v>0</v>
      </c>
      <c r="L10" s="63">
        <v>313605</v>
      </c>
      <c r="M10" s="64">
        <v>0</v>
      </c>
      <c r="N10" s="65"/>
    </row>
    <row r="11" spans="1:15" x14ac:dyDescent="0.25">
      <c r="A11" s="53" t="s">
        <v>32</v>
      </c>
      <c r="B11" s="54" t="s">
        <v>30</v>
      </c>
      <c r="C11" s="55" t="s">
        <v>30</v>
      </c>
      <c r="D11" s="56" t="s">
        <v>30</v>
      </c>
      <c r="E11" s="57" t="s">
        <v>31</v>
      </c>
      <c r="F11" s="58" t="s">
        <v>31</v>
      </c>
      <c r="G11" s="21" t="s">
        <v>14</v>
      </c>
      <c r="H11" s="59">
        <v>0</v>
      </c>
      <c r="I11" s="60">
        <v>0</v>
      </c>
      <c r="J11" s="61">
        <f t="shared" si="2"/>
        <v>0</v>
      </c>
      <c r="K11" s="62">
        <v>0</v>
      </c>
      <c r="L11" s="63">
        <v>218320</v>
      </c>
      <c r="M11" s="64">
        <v>0</v>
      </c>
      <c r="N11" s="65"/>
    </row>
    <row r="12" spans="1:15" x14ac:dyDescent="0.25">
      <c r="A12" s="53" t="s">
        <v>33</v>
      </c>
      <c r="B12" s="54" t="s">
        <v>30</v>
      </c>
      <c r="C12" s="55" t="s">
        <v>30</v>
      </c>
      <c r="D12" s="56" t="s">
        <v>30</v>
      </c>
      <c r="E12" s="57" t="s">
        <v>31</v>
      </c>
      <c r="F12" s="58" t="s">
        <v>31</v>
      </c>
      <c r="G12" s="21" t="s">
        <v>14</v>
      </c>
      <c r="H12" s="59">
        <v>0</v>
      </c>
      <c r="I12" s="60">
        <v>0</v>
      </c>
      <c r="J12" s="61">
        <f t="shared" si="2"/>
        <v>0</v>
      </c>
      <c r="K12" s="62">
        <v>0</v>
      </c>
      <c r="L12" s="63">
        <v>295244</v>
      </c>
      <c r="M12" s="64">
        <v>0</v>
      </c>
      <c r="N12" s="65"/>
    </row>
    <row r="13" spans="1:15" x14ac:dyDescent="0.25">
      <c r="A13" s="53" t="s">
        <v>34</v>
      </c>
      <c r="B13" s="54" t="s">
        <v>30</v>
      </c>
      <c r="C13" s="55" t="s">
        <v>30</v>
      </c>
      <c r="D13" s="56" t="s">
        <v>30</v>
      </c>
      <c r="E13" s="57" t="s">
        <v>31</v>
      </c>
      <c r="F13" s="58" t="s">
        <v>31</v>
      </c>
      <c r="G13" s="21" t="s">
        <v>14</v>
      </c>
      <c r="H13" s="59">
        <v>0</v>
      </c>
      <c r="I13" s="60">
        <v>0</v>
      </c>
      <c r="J13" s="61">
        <f t="shared" si="2"/>
        <v>0</v>
      </c>
      <c r="K13" s="62">
        <v>0</v>
      </c>
      <c r="L13" s="63">
        <v>1406767</v>
      </c>
      <c r="M13" s="64">
        <v>0</v>
      </c>
      <c r="N13" s="65"/>
    </row>
    <row r="14" spans="1:15" ht="45" x14ac:dyDescent="0.25">
      <c r="A14" s="66" t="s">
        <v>35</v>
      </c>
      <c r="B14" s="54" t="s">
        <v>30</v>
      </c>
      <c r="C14" s="55" t="s">
        <v>30</v>
      </c>
      <c r="D14" s="56" t="s">
        <v>30</v>
      </c>
      <c r="E14" s="57" t="s">
        <v>31</v>
      </c>
      <c r="F14" s="58" t="s">
        <v>31</v>
      </c>
      <c r="G14" s="21" t="s">
        <v>14</v>
      </c>
      <c r="H14" s="59">
        <v>0</v>
      </c>
      <c r="I14" s="60">
        <v>0</v>
      </c>
      <c r="J14" s="61">
        <f t="shared" si="2"/>
        <v>0</v>
      </c>
      <c r="K14" s="62">
        <v>0</v>
      </c>
      <c r="L14" s="63">
        <v>1758243</v>
      </c>
      <c r="M14" s="64">
        <v>0</v>
      </c>
      <c r="N14" s="65"/>
    </row>
    <row r="15" spans="1:15" x14ac:dyDescent="0.25">
      <c r="A15" s="53" t="s">
        <v>36</v>
      </c>
      <c r="B15" s="54" t="s">
        <v>30</v>
      </c>
      <c r="C15" s="55" t="s">
        <v>30</v>
      </c>
      <c r="D15" s="56" t="s">
        <v>30</v>
      </c>
      <c r="E15" s="57" t="s">
        <v>31</v>
      </c>
      <c r="F15" s="58" t="s">
        <v>31</v>
      </c>
      <c r="G15" s="21" t="s">
        <v>14</v>
      </c>
      <c r="H15" s="59">
        <v>0</v>
      </c>
      <c r="I15" s="60">
        <v>0</v>
      </c>
      <c r="J15" s="61">
        <f t="shared" si="2"/>
        <v>0</v>
      </c>
      <c r="K15" s="62">
        <v>0</v>
      </c>
      <c r="L15" s="63">
        <v>2407266</v>
      </c>
      <c r="M15" s="64">
        <v>0</v>
      </c>
      <c r="N15" s="65"/>
    </row>
    <row r="16" spans="1:15" ht="30" x14ac:dyDescent="0.25">
      <c r="A16" s="66" t="s">
        <v>108</v>
      </c>
      <c r="B16" s="54" t="s">
        <v>30</v>
      </c>
      <c r="C16" s="55" t="s">
        <v>30</v>
      </c>
      <c r="D16" s="56" t="s">
        <v>30</v>
      </c>
      <c r="E16" s="57" t="s">
        <v>31</v>
      </c>
      <c r="F16" s="58" t="s">
        <v>31</v>
      </c>
      <c r="G16" s="21" t="s">
        <v>14</v>
      </c>
      <c r="H16" s="59">
        <v>0</v>
      </c>
      <c r="I16" s="60">
        <v>0</v>
      </c>
      <c r="J16" s="61">
        <f t="shared" si="2"/>
        <v>0</v>
      </c>
      <c r="K16" s="62">
        <v>0</v>
      </c>
      <c r="L16" s="63"/>
      <c r="M16" s="64">
        <f>'Estimated Annual Costs'!C42</f>
        <v>17699024.822030999</v>
      </c>
      <c r="N16" s="66" t="s">
        <v>37</v>
      </c>
    </row>
    <row r="17" spans="1:14" x14ac:dyDescent="0.25">
      <c r="A17" s="53"/>
      <c r="B17" s="54"/>
      <c r="C17" s="55"/>
      <c r="D17" s="56"/>
      <c r="E17" s="57"/>
      <c r="F17" s="58"/>
      <c r="G17" s="21"/>
      <c r="H17" s="59"/>
      <c r="I17" s="60"/>
      <c r="J17" s="67"/>
      <c r="K17" s="62"/>
      <c r="L17" s="63"/>
      <c r="M17" s="64"/>
      <c r="N17" s="65"/>
    </row>
    <row r="18" spans="1:14" s="29" customFormat="1" ht="15.75" thickBot="1" x14ac:dyDescent="0.3">
      <c r="A18" s="68"/>
      <c r="B18" s="69"/>
      <c r="C18" s="70"/>
      <c r="D18" s="71"/>
      <c r="E18" s="69"/>
      <c r="F18" s="72"/>
      <c r="G18" s="71"/>
      <c r="H18" s="73">
        <f>SUM(H3:H17)</f>
        <v>1400726.58</v>
      </c>
      <c r="I18" s="73">
        <f>SUM(I3:I17)</f>
        <v>409570</v>
      </c>
      <c r="J18" s="73">
        <f>SUM(J3:J17)</f>
        <v>1810296.58</v>
      </c>
      <c r="K18" s="74"/>
      <c r="L18" s="75"/>
      <c r="M18" s="76"/>
      <c r="N18" s="77"/>
    </row>
    <row r="19" spans="1:14" x14ac:dyDescent="0.25">
      <c r="M19" s="82"/>
      <c r="N19"/>
    </row>
    <row r="20" spans="1:14" s="83" customFormat="1" x14ac:dyDescent="0.25">
      <c r="B20" s="84"/>
      <c r="C20" s="84"/>
      <c r="D20" s="84"/>
      <c r="E20" s="84"/>
      <c r="F20" s="84"/>
      <c r="G20" s="84"/>
      <c r="H20" s="80"/>
      <c r="I20" s="80"/>
      <c r="J20" s="80"/>
      <c r="K20" s="85"/>
      <c r="L20" s="85"/>
      <c r="M20" s="86"/>
    </row>
    <row r="21" spans="1:14" x14ac:dyDescent="0.25">
      <c r="M21" s="82"/>
      <c r="N21"/>
    </row>
    <row r="22" spans="1:14" ht="15.75" x14ac:dyDescent="0.25">
      <c r="B22" s="87"/>
      <c r="N22"/>
    </row>
    <row r="23" spans="1:14" ht="15.75" x14ac:dyDescent="0.25">
      <c r="B23" s="87"/>
      <c r="N23"/>
    </row>
    <row r="24" spans="1:14" ht="15.75" x14ac:dyDescent="0.25">
      <c r="B24" s="87"/>
      <c r="N24"/>
    </row>
    <row r="25" spans="1:14" ht="15.75" x14ac:dyDescent="0.25">
      <c r="B25" s="87"/>
      <c r="N25"/>
    </row>
    <row r="26" spans="1:14" x14ac:dyDescent="0.25">
      <c r="N26"/>
    </row>
    <row r="27" spans="1:14" x14ac:dyDescent="0.25">
      <c r="N27"/>
    </row>
    <row r="28" spans="1:14" x14ac:dyDescent="0.25">
      <c r="N28"/>
    </row>
    <row r="29" spans="1:14" x14ac:dyDescent="0.25">
      <c r="N29"/>
    </row>
    <row r="30" spans="1:14" x14ac:dyDescent="0.25">
      <c r="N30"/>
    </row>
    <row r="31" spans="1:14" x14ac:dyDescent="0.25">
      <c r="N31"/>
    </row>
    <row r="32" spans="1:14" x14ac:dyDescent="0.25">
      <c r="N32"/>
    </row>
    <row r="33" spans="14:14" x14ac:dyDescent="0.25">
      <c r="N33"/>
    </row>
    <row r="34" spans="14:14" x14ac:dyDescent="0.25">
      <c r="N34"/>
    </row>
  </sheetData>
  <mergeCells count="4">
    <mergeCell ref="B1:D1"/>
    <mergeCell ref="E1:G1"/>
    <mergeCell ref="H1:J1"/>
    <mergeCell ref="K1:M1"/>
  </mergeCells>
  <pageMargins left="0.7" right="0.7" top="0.75" bottom="0.75" header="0.3" footer="0.3"/>
  <pageSetup scale="49" orientation="landscape" r:id="rId1"/>
  <headerFooter>
    <oddFooter>&amp;R&amp;"Times New Roman,Bold"&amp;12Attachment to Response to LGE AG Question No. 355
Page 4 of 5
Thomas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Estimated Annual Costs</vt:lpstr>
      <vt:lpstr>Annual Riser Costs</vt:lpstr>
      <vt:lpstr>Task Costs</vt:lpstr>
      <vt:lpstr>OPEX</vt:lpstr>
      <vt:lpstr>Capital</vt:lpstr>
      <vt:lpstr>'Annual Riser Costs'!Print_Area</vt:lpstr>
      <vt:lpstr>Capital!Print_Area</vt:lpstr>
      <vt:lpstr>'Estimated Annual Costs'!Print_Area</vt:lpstr>
      <vt:lpstr>OPEX!Print_Area</vt:lpstr>
      <vt:lpstr>'Task Costs'!Print_Area</vt:lpstr>
      <vt:lpstr>OPEX!Print_Titles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2012-08-13T18:15:58Z</dcterms:created>
  <dcterms:modified xsi:type="dcterms:W3CDTF">2012-08-13T18:16:25Z</dcterms:modified>
</cp:coreProperties>
</file>