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8140" yWindow="300" windowWidth="21690" windowHeight="11640"/>
  </bookViews>
  <sheets>
    <sheet name="Apr" sheetId="16" r:id="rId1"/>
    <sheet name="May" sheetId="3" r:id="rId2"/>
    <sheet name="Jun" sheetId="4" r:id="rId3"/>
    <sheet name="Jul" sheetId="5" r:id="rId4"/>
    <sheet name="Aug" sheetId="6" r:id="rId5"/>
    <sheet name="Sep" sheetId="7" r:id="rId6"/>
    <sheet name="Oct" sheetId="8" r:id="rId7"/>
    <sheet name="Nov" sheetId="9" r:id="rId8"/>
    <sheet name="Dec" sheetId="10" r:id="rId9"/>
    <sheet name="Jan12" sheetId="18" r:id="rId10"/>
    <sheet name="Feb12" sheetId="19" r:id="rId11"/>
    <sheet name="Mar12" sheetId="20" r:id="rId12"/>
  </sheets>
  <calcPr calcId="145621"/>
</workbook>
</file>

<file path=xl/calcChain.xml><?xml version="1.0" encoding="utf-8"?>
<calcChain xmlns="http://schemas.openxmlformats.org/spreadsheetml/2006/main">
  <c r="N29" i="20" l="1"/>
  <c r="N28" i="20"/>
  <c r="J28" i="20"/>
  <c r="N27" i="20"/>
  <c r="N26" i="20"/>
  <c r="N25" i="20"/>
  <c r="N24" i="20"/>
  <c r="N20" i="20"/>
  <c r="M20" i="20"/>
  <c r="F20" i="20"/>
  <c r="F21" i="20" s="1"/>
  <c r="G22" i="20" s="1"/>
  <c r="E20" i="20"/>
  <c r="Q19" i="20"/>
  <c r="R19" i="20" s="1"/>
  <c r="O19" i="20"/>
  <c r="K19" i="20"/>
  <c r="J19" i="20"/>
  <c r="I19" i="20"/>
  <c r="S19" i="20" s="1"/>
  <c r="T19" i="20" s="1"/>
  <c r="G19" i="20"/>
  <c r="Q18" i="20"/>
  <c r="R18" i="20" s="1"/>
  <c r="O18" i="20"/>
  <c r="J18" i="20"/>
  <c r="I18" i="20"/>
  <c r="S18" i="20" s="1"/>
  <c r="G18" i="20"/>
  <c r="Q17" i="20"/>
  <c r="R17" i="20" s="1"/>
  <c r="O17" i="20"/>
  <c r="K17" i="20"/>
  <c r="J17" i="20"/>
  <c r="I17" i="20"/>
  <c r="S17" i="20" s="1"/>
  <c r="T17" i="20" s="1"/>
  <c r="G17" i="20"/>
  <c r="Q16" i="20"/>
  <c r="R16" i="20" s="1"/>
  <c r="O16" i="20"/>
  <c r="J16" i="20"/>
  <c r="K16" i="20" s="1"/>
  <c r="I16" i="20"/>
  <c r="S16" i="20" s="1"/>
  <c r="G16" i="20"/>
  <c r="Q15" i="20"/>
  <c r="R15" i="20" s="1"/>
  <c r="O15" i="20"/>
  <c r="J15" i="20"/>
  <c r="J24" i="20" s="1"/>
  <c r="I15" i="20"/>
  <c r="S15" i="20" s="1"/>
  <c r="G15" i="20"/>
  <c r="Q14" i="20"/>
  <c r="R14" i="20" s="1"/>
  <c r="O14" i="20"/>
  <c r="J14" i="20"/>
  <c r="I14" i="20"/>
  <c r="S14" i="20" s="1"/>
  <c r="T14" i="20" s="1"/>
  <c r="U14" i="20" s="1"/>
  <c r="G14" i="20"/>
  <c r="Q13" i="20"/>
  <c r="R13" i="20" s="1"/>
  <c r="O13" i="20"/>
  <c r="J13" i="20"/>
  <c r="I13" i="20"/>
  <c r="S13" i="20" s="1"/>
  <c r="G13" i="20"/>
  <c r="Q12" i="20"/>
  <c r="R12" i="20" s="1"/>
  <c r="O12" i="20"/>
  <c r="J12" i="20"/>
  <c r="I12" i="20"/>
  <c r="S12" i="20" s="1"/>
  <c r="T12" i="20" s="1"/>
  <c r="G12" i="20"/>
  <c r="Q11" i="20"/>
  <c r="R11" i="20" s="1"/>
  <c r="O11" i="20"/>
  <c r="J11" i="20"/>
  <c r="K11" i="20" s="1"/>
  <c r="I11" i="20"/>
  <c r="S11" i="20" s="1"/>
  <c r="G11" i="20"/>
  <c r="R10" i="20"/>
  <c r="Q10" i="20"/>
  <c r="O10" i="20"/>
  <c r="J10" i="20"/>
  <c r="J26" i="20" s="1"/>
  <c r="O26" i="20" s="1"/>
  <c r="I10" i="20"/>
  <c r="S10" i="20" s="1"/>
  <c r="G10" i="20"/>
  <c r="Q9" i="20"/>
  <c r="R9" i="20" s="1"/>
  <c r="O9" i="20"/>
  <c r="J9" i="20"/>
  <c r="I9" i="20"/>
  <c r="S9" i="20" s="1"/>
  <c r="G9" i="20"/>
  <c r="Q8" i="20"/>
  <c r="R8" i="20" s="1"/>
  <c r="R29" i="20" s="1"/>
  <c r="O8" i="20"/>
  <c r="J8" i="20"/>
  <c r="I8" i="20"/>
  <c r="G8" i="20"/>
  <c r="S7" i="20"/>
  <c r="Q7" i="20"/>
  <c r="R7" i="20" s="1"/>
  <c r="O7" i="20"/>
  <c r="J7" i="20"/>
  <c r="J27" i="20" s="1"/>
  <c r="I7" i="20"/>
  <c r="G7" i="20"/>
  <c r="Q6" i="20"/>
  <c r="R6" i="20" s="1"/>
  <c r="O6" i="20"/>
  <c r="J6" i="20"/>
  <c r="I6" i="20"/>
  <c r="S6" i="20" s="1"/>
  <c r="T6" i="20" s="1"/>
  <c r="G6" i="20"/>
  <c r="N28" i="19"/>
  <c r="N27" i="19"/>
  <c r="N26" i="19"/>
  <c r="F19" i="19"/>
  <c r="E19" i="19"/>
  <c r="R18" i="19"/>
  <c r="Q18" i="19"/>
  <c r="O18" i="19"/>
  <c r="J18" i="19"/>
  <c r="K18" i="19" s="1"/>
  <c r="I18" i="19"/>
  <c r="S18" i="19" s="1"/>
  <c r="T18" i="19" s="1"/>
  <c r="G18" i="19"/>
  <c r="Q17" i="19"/>
  <c r="R17" i="19" s="1"/>
  <c r="O17" i="19"/>
  <c r="J17" i="19"/>
  <c r="K17" i="19" s="1"/>
  <c r="I17" i="19"/>
  <c r="S17" i="19" s="1"/>
  <c r="G17" i="19"/>
  <c r="Q16" i="19"/>
  <c r="R16" i="19" s="1"/>
  <c r="O16" i="19"/>
  <c r="J16" i="19"/>
  <c r="I16" i="19"/>
  <c r="S16" i="19" s="1"/>
  <c r="G16" i="19"/>
  <c r="Q15" i="19"/>
  <c r="R15" i="19" s="1"/>
  <c r="O15" i="19"/>
  <c r="J15" i="19"/>
  <c r="I15" i="19"/>
  <c r="S15" i="19" s="1"/>
  <c r="G15" i="19"/>
  <c r="Q14" i="19"/>
  <c r="R14" i="19" s="1"/>
  <c r="O14" i="19"/>
  <c r="J14" i="19"/>
  <c r="K14" i="19" s="1"/>
  <c r="I14" i="19"/>
  <c r="S14" i="19" s="1"/>
  <c r="T14" i="19" s="1"/>
  <c r="G14" i="19"/>
  <c r="N13" i="19"/>
  <c r="M13" i="19"/>
  <c r="I13" i="19" s="1"/>
  <c r="S13" i="19" s="1"/>
  <c r="G13" i="19"/>
  <c r="Q12" i="19"/>
  <c r="R12" i="19" s="1"/>
  <c r="O12" i="19"/>
  <c r="J12" i="19"/>
  <c r="I12" i="19"/>
  <c r="S12" i="19" s="1"/>
  <c r="G12" i="19"/>
  <c r="Q11" i="19"/>
  <c r="R11" i="19" s="1"/>
  <c r="O11" i="19"/>
  <c r="K11" i="19"/>
  <c r="J11" i="19"/>
  <c r="I11" i="19"/>
  <c r="S11" i="19" s="1"/>
  <c r="T11" i="19" s="1"/>
  <c r="G11" i="19"/>
  <c r="Q10" i="19"/>
  <c r="R10" i="19" s="1"/>
  <c r="O10" i="19"/>
  <c r="J10" i="19"/>
  <c r="K10" i="19" s="1"/>
  <c r="P10" i="19" s="1"/>
  <c r="I10" i="19"/>
  <c r="S10" i="19" s="1"/>
  <c r="G10" i="19"/>
  <c r="Q9" i="19"/>
  <c r="R9" i="19" s="1"/>
  <c r="O9" i="19"/>
  <c r="J9" i="19"/>
  <c r="J26" i="19" s="1"/>
  <c r="I9" i="19"/>
  <c r="S9" i="19" s="1"/>
  <c r="G9" i="19"/>
  <c r="Q8" i="19"/>
  <c r="R8" i="19" s="1"/>
  <c r="O8" i="19"/>
  <c r="J8" i="19"/>
  <c r="K8" i="19" s="1"/>
  <c r="I8" i="19"/>
  <c r="S8" i="19" s="1"/>
  <c r="T8" i="19" s="1"/>
  <c r="G8" i="19"/>
  <c r="Q7" i="19"/>
  <c r="R7" i="19" s="1"/>
  <c r="R27" i="19" s="1"/>
  <c r="O7" i="19"/>
  <c r="J7" i="19"/>
  <c r="I7" i="19"/>
  <c r="S7" i="19" s="1"/>
  <c r="G7" i="19"/>
  <c r="N6" i="19"/>
  <c r="N25" i="19" s="1"/>
  <c r="M6" i="19"/>
  <c r="I6" i="19" s="1"/>
  <c r="G6" i="19"/>
  <c r="N28" i="18"/>
  <c r="N27" i="18"/>
  <c r="N26" i="18"/>
  <c r="N25" i="18"/>
  <c r="N24" i="18"/>
  <c r="N19" i="18"/>
  <c r="M19" i="18"/>
  <c r="F19" i="18"/>
  <c r="E19" i="18"/>
  <c r="Q18" i="18"/>
  <c r="R18" i="18" s="1"/>
  <c r="O18" i="18"/>
  <c r="J18" i="18"/>
  <c r="I18" i="18"/>
  <c r="S18" i="18" s="1"/>
  <c r="T18" i="18" s="1"/>
  <c r="G18" i="18"/>
  <c r="Q17" i="18"/>
  <c r="R17" i="18" s="1"/>
  <c r="O17" i="18"/>
  <c r="J17" i="18"/>
  <c r="I17" i="18"/>
  <c r="S17" i="18" s="1"/>
  <c r="G17" i="18"/>
  <c r="Q16" i="18"/>
  <c r="R16" i="18" s="1"/>
  <c r="O16" i="18"/>
  <c r="J16" i="18"/>
  <c r="I16" i="18"/>
  <c r="S16" i="18" s="1"/>
  <c r="T16" i="18" s="1"/>
  <c r="G16" i="18"/>
  <c r="R15" i="18"/>
  <c r="Q15" i="18"/>
  <c r="O15" i="18"/>
  <c r="J15" i="18"/>
  <c r="I15" i="18"/>
  <c r="S15" i="18" s="1"/>
  <c r="T15" i="18" s="1"/>
  <c r="G15" i="18"/>
  <c r="S14" i="18"/>
  <c r="Q14" i="18"/>
  <c r="R14" i="18" s="1"/>
  <c r="O14" i="18"/>
  <c r="J14" i="18"/>
  <c r="K14" i="18" s="1"/>
  <c r="I14" i="18"/>
  <c r="G14" i="18"/>
  <c r="Q13" i="18"/>
  <c r="R13" i="18" s="1"/>
  <c r="O13" i="18"/>
  <c r="J13" i="18"/>
  <c r="I13" i="18"/>
  <c r="S13" i="18" s="1"/>
  <c r="G13" i="18"/>
  <c r="Q12" i="18"/>
  <c r="R12" i="18" s="1"/>
  <c r="R28" i="18" s="1"/>
  <c r="O12" i="18"/>
  <c r="J12" i="18"/>
  <c r="I12" i="18"/>
  <c r="S12" i="18" s="1"/>
  <c r="G12" i="18"/>
  <c r="Q11" i="18"/>
  <c r="R11" i="18" s="1"/>
  <c r="O11" i="18"/>
  <c r="J11" i="18"/>
  <c r="J26" i="18" s="1"/>
  <c r="I11" i="18"/>
  <c r="S11" i="18" s="1"/>
  <c r="T11" i="18" s="1"/>
  <c r="G11" i="18"/>
  <c r="Q10" i="18"/>
  <c r="R10" i="18" s="1"/>
  <c r="O10" i="18"/>
  <c r="J10" i="18"/>
  <c r="I10" i="18"/>
  <c r="S10" i="18" s="1"/>
  <c r="G10" i="18"/>
  <c r="Q9" i="18"/>
  <c r="R9" i="18" s="1"/>
  <c r="O9" i="18"/>
  <c r="J9" i="18"/>
  <c r="I9" i="18"/>
  <c r="S9" i="18" s="1"/>
  <c r="T9" i="18" s="1"/>
  <c r="G9" i="18"/>
  <c r="S8" i="18"/>
  <c r="T8" i="18" s="1"/>
  <c r="Q8" i="18"/>
  <c r="R8" i="18" s="1"/>
  <c r="O8" i="18"/>
  <c r="J8" i="18"/>
  <c r="K8" i="18" s="1"/>
  <c r="I8" i="18"/>
  <c r="G8" i="18"/>
  <c r="Q7" i="18"/>
  <c r="R7" i="18" s="1"/>
  <c r="O7" i="18"/>
  <c r="J7" i="18"/>
  <c r="I7" i="18"/>
  <c r="S7" i="18" s="1"/>
  <c r="G7" i="18"/>
  <c r="Q6" i="18"/>
  <c r="R6" i="18" s="1"/>
  <c r="O6" i="18"/>
  <c r="J6" i="18"/>
  <c r="I6" i="18"/>
  <c r="S6" i="18" s="1"/>
  <c r="G6" i="18"/>
  <c r="K8" i="20" l="1"/>
  <c r="T9" i="20"/>
  <c r="T13" i="20"/>
  <c r="T16" i="20"/>
  <c r="T18" i="20"/>
  <c r="U18" i="20" s="1"/>
  <c r="N19" i="19"/>
  <c r="O13" i="19"/>
  <c r="K16" i="19"/>
  <c r="N24" i="19"/>
  <c r="T9" i="19"/>
  <c r="U9" i="19" s="1"/>
  <c r="Q13" i="19"/>
  <c r="T17" i="19"/>
  <c r="J27" i="19"/>
  <c r="O27" i="19" s="1"/>
  <c r="T15" i="19"/>
  <c r="U16" i="18"/>
  <c r="J25" i="18"/>
  <c r="O25" i="18" s="1"/>
  <c r="K16" i="18"/>
  <c r="K18" i="18"/>
  <c r="J27" i="18"/>
  <c r="T17" i="18"/>
  <c r="U17" i="18" s="1"/>
  <c r="T6" i="18"/>
  <c r="R27" i="18"/>
  <c r="T12" i="18"/>
  <c r="U12" i="18" s="1"/>
  <c r="U28" i="18" s="1"/>
  <c r="K11" i="18"/>
  <c r="J24" i="18"/>
  <c r="O24" i="18" s="1"/>
  <c r="T14" i="18"/>
  <c r="U14" i="18" s="1"/>
  <c r="K6" i="20"/>
  <c r="P6" i="20" s="1"/>
  <c r="K9" i="20"/>
  <c r="P9" i="20" s="1"/>
  <c r="K12" i="20"/>
  <c r="T10" i="18"/>
  <c r="U10" i="18" s="1"/>
  <c r="T11" i="20"/>
  <c r="U11" i="20" s="1"/>
  <c r="U19" i="20"/>
  <c r="U15" i="18"/>
  <c r="T10" i="19"/>
  <c r="U10" i="19" s="1"/>
  <c r="U9" i="20"/>
  <c r="T15" i="20"/>
  <c r="U15" i="20" s="1"/>
  <c r="U24" i="20" s="1"/>
  <c r="J29" i="20"/>
  <c r="T7" i="18"/>
  <c r="U7" i="18" s="1"/>
  <c r="R26" i="19"/>
  <c r="U15" i="19"/>
  <c r="U17" i="19"/>
  <c r="K7" i="20"/>
  <c r="P7" i="20" s="1"/>
  <c r="T7" i="20"/>
  <c r="K10" i="20"/>
  <c r="T10" i="20"/>
  <c r="U10" i="20" s="1"/>
  <c r="K13" i="20"/>
  <c r="P13" i="20" s="1"/>
  <c r="K15" i="20"/>
  <c r="U16" i="20"/>
  <c r="O29" i="20"/>
  <c r="R28" i="19"/>
  <c r="R20" i="20"/>
  <c r="R25" i="20"/>
  <c r="U6" i="20"/>
  <c r="U25" i="20" s="1"/>
  <c r="R25" i="18"/>
  <c r="U6" i="18"/>
  <c r="R26" i="18"/>
  <c r="U9" i="18"/>
  <c r="I19" i="18"/>
  <c r="R24" i="18"/>
  <c r="O26" i="18"/>
  <c r="S6" i="19"/>
  <c r="I19" i="19"/>
  <c r="U8" i="19"/>
  <c r="U7" i="20"/>
  <c r="R27" i="20"/>
  <c r="R26" i="20"/>
  <c r="T13" i="18"/>
  <c r="U13" i="18" s="1"/>
  <c r="U18" i="18"/>
  <c r="R19" i="18"/>
  <c r="O6" i="19"/>
  <c r="K7" i="19"/>
  <c r="P7" i="19" s="1"/>
  <c r="T7" i="19"/>
  <c r="U7" i="19" s="1"/>
  <c r="K9" i="19"/>
  <c r="P9" i="19" s="1"/>
  <c r="U11" i="19"/>
  <c r="U26" i="19" s="1"/>
  <c r="T12" i="19"/>
  <c r="U12" i="19" s="1"/>
  <c r="U28" i="19" s="1"/>
  <c r="U14" i="19"/>
  <c r="K15" i="19"/>
  <c r="T16" i="19"/>
  <c r="U16" i="19" s="1"/>
  <c r="P10" i="20"/>
  <c r="R28" i="20"/>
  <c r="U13" i="20"/>
  <c r="U28" i="20" s="1"/>
  <c r="K14" i="20"/>
  <c r="O27" i="20"/>
  <c r="J28" i="19"/>
  <c r="O28" i="19" s="1"/>
  <c r="K12" i="19"/>
  <c r="K7" i="18"/>
  <c r="P7" i="18" s="1"/>
  <c r="U8" i="18"/>
  <c r="K9" i="18"/>
  <c r="P9" i="18" s="1"/>
  <c r="K10" i="18"/>
  <c r="P10" i="18" s="1"/>
  <c r="U11" i="18"/>
  <c r="K12" i="18"/>
  <c r="K13" i="18"/>
  <c r="P13" i="18" s="1"/>
  <c r="K15" i="18"/>
  <c r="K17" i="18"/>
  <c r="O27" i="18"/>
  <c r="Q6" i="19"/>
  <c r="R6" i="19" s="1"/>
  <c r="U18" i="19"/>
  <c r="M19" i="19"/>
  <c r="O26" i="19"/>
  <c r="J20" i="20"/>
  <c r="J25" i="20"/>
  <c r="O25" i="20" s="1"/>
  <c r="S8" i="20"/>
  <c r="T8" i="20" s="1"/>
  <c r="U8" i="20" s="1"/>
  <c r="U29" i="20" s="1"/>
  <c r="I20" i="20"/>
  <c r="U12" i="20"/>
  <c r="R24" i="20"/>
  <c r="U17" i="20"/>
  <c r="K18" i="20"/>
  <c r="O24" i="20"/>
  <c r="O28" i="20"/>
  <c r="J19" i="18"/>
  <c r="J28" i="18"/>
  <c r="O28" i="18" s="1"/>
  <c r="R13" i="19"/>
  <c r="K6" i="18"/>
  <c r="P6" i="18" s="1"/>
  <c r="J6" i="19"/>
  <c r="J13" i="19"/>
  <c r="U27" i="20" l="1"/>
  <c r="U24" i="18"/>
  <c r="U27" i="19"/>
  <c r="O29" i="18"/>
  <c r="P29" i="18" s="1"/>
  <c r="U27" i="18"/>
  <c r="R24" i="19"/>
  <c r="U26" i="18"/>
  <c r="J24" i="19"/>
  <c r="O24" i="19" s="1"/>
  <c r="K13" i="19"/>
  <c r="P13" i="19" s="1"/>
  <c r="R25" i="19"/>
  <c r="R19" i="19"/>
  <c r="O30" i="20"/>
  <c r="P30" i="20" s="1"/>
  <c r="T13" i="19"/>
  <c r="U13" i="19" s="1"/>
  <c r="U24" i="19" s="1"/>
  <c r="J19" i="19"/>
  <c r="J25" i="19"/>
  <c r="O25" i="19" s="1"/>
  <c r="K6" i="19"/>
  <c r="P6" i="19" s="1"/>
  <c r="U25" i="18"/>
  <c r="U26" i="20"/>
  <c r="T6" i="19"/>
  <c r="U6" i="19" s="1"/>
  <c r="U25" i="19" s="1"/>
  <c r="O29" i="19" l="1"/>
  <c r="P29" i="19" s="1"/>
  <c r="Q18" i="10" l="1"/>
  <c r="R18" i="10" s="1"/>
  <c r="Q17" i="10"/>
  <c r="R17" i="10" s="1"/>
  <c r="Q16" i="10"/>
  <c r="R16" i="10" s="1"/>
  <c r="Q15" i="10"/>
  <c r="R15" i="10" s="1"/>
  <c r="Q14" i="10"/>
  <c r="R14" i="10" s="1"/>
  <c r="Q13" i="10"/>
  <c r="R13" i="10" s="1"/>
  <c r="R12" i="10"/>
  <c r="Q12" i="10"/>
  <c r="Q11" i="10"/>
  <c r="R11" i="10" s="1"/>
  <c r="Q10" i="10"/>
  <c r="R10" i="10" s="1"/>
  <c r="Q9" i="10"/>
  <c r="R9" i="10" s="1"/>
  <c r="Q8" i="10"/>
  <c r="R8" i="10" s="1"/>
  <c r="Q7" i="10"/>
  <c r="R7" i="10" s="1"/>
  <c r="Q6" i="10"/>
  <c r="R6" i="10" s="1"/>
  <c r="S18" i="9"/>
  <c r="T18" i="9" s="1"/>
  <c r="S17" i="9"/>
  <c r="T17" i="9" s="1"/>
  <c r="S16" i="9"/>
  <c r="T16" i="9" s="1"/>
  <c r="S15" i="9"/>
  <c r="T15" i="9" s="1"/>
  <c r="S14" i="9"/>
  <c r="T14" i="9" s="1"/>
  <c r="S12" i="9"/>
  <c r="T12" i="9" s="1"/>
  <c r="T28" i="9" s="1"/>
  <c r="S11" i="9"/>
  <c r="T11" i="9" s="1"/>
  <c r="S10" i="9"/>
  <c r="T10" i="9" s="1"/>
  <c r="S9" i="9"/>
  <c r="T9" i="9" s="1"/>
  <c r="S8" i="9"/>
  <c r="T8" i="9" s="1"/>
  <c r="S7" i="9"/>
  <c r="T7" i="9" s="1"/>
  <c r="Q18" i="8"/>
  <c r="R18" i="8" s="1"/>
  <c r="Q17" i="8"/>
  <c r="R17" i="8" s="1"/>
  <c r="Q16" i="8"/>
  <c r="R16" i="8" s="1"/>
  <c r="Q15" i="8"/>
  <c r="R15" i="8" s="1"/>
  <c r="Q14" i="8"/>
  <c r="R14" i="8" s="1"/>
  <c r="Q13" i="8"/>
  <c r="R13" i="8" s="1"/>
  <c r="Q12" i="8"/>
  <c r="R12" i="8" s="1"/>
  <c r="Q11" i="8"/>
  <c r="R11" i="8" s="1"/>
  <c r="Q10" i="8"/>
  <c r="R10" i="8" s="1"/>
  <c r="Q9" i="8"/>
  <c r="R9" i="8" s="1"/>
  <c r="Q8" i="8"/>
  <c r="R8" i="8" s="1"/>
  <c r="Q7" i="8"/>
  <c r="R7" i="8" s="1"/>
  <c r="Q6" i="8"/>
  <c r="R6" i="8" s="1"/>
  <c r="Q18" i="7"/>
  <c r="R18" i="7" s="1"/>
  <c r="R17" i="7"/>
  <c r="Q17" i="7"/>
  <c r="Q16" i="7"/>
  <c r="R16" i="7" s="1"/>
  <c r="Q15" i="7"/>
  <c r="R15" i="7" s="1"/>
  <c r="Q14" i="7"/>
  <c r="R14" i="7" s="1"/>
  <c r="Q13" i="7"/>
  <c r="R13" i="7" s="1"/>
  <c r="Q12" i="7"/>
  <c r="R12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18" i="5"/>
  <c r="R18" i="5" s="1"/>
  <c r="Q17" i="5"/>
  <c r="R17" i="5" s="1"/>
  <c r="Q16" i="5"/>
  <c r="R16" i="5" s="1"/>
  <c r="Q15" i="5"/>
  <c r="R15" i="5" s="1"/>
  <c r="Q14" i="5"/>
  <c r="R14" i="5" s="1"/>
  <c r="Q13" i="5"/>
  <c r="R13" i="5" s="1"/>
  <c r="Q12" i="5"/>
  <c r="R12" i="5" s="1"/>
  <c r="Q11" i="5"/>
  <c r="R11" i="5" s="1"/>
  <c r="Q10" i="5"/>
  <c r="R10" i="5" s="1"/>
  <c r="Q9" i="5"/>
  <c r="R9" i="5" s="1"/>
  <c r="Q8" i="5"/>
  <c r="R8" i="5" s="1"/>
  <c r="Q7" i="5"/>
  <c r="R7" i="5" s="1"/>
  <c r="Q6" i="5"/>
  <c r="R6" i="5" s="1"/>
  <c r="Q18" i="4"/>
  <c r="R18" i="4" s="1"/>
  <c r="Q17" i="4"/>
  <c r="R17" i="4" s="1"/>
  <c r="Q16" i="4"/>
  <c r="R16" i="4" s="1"/>
  <c r="Q15" i="4"/>
  <c r="R15" i="4" s="1"/>
  <c r="Q14" i="4"/>
  <c r="R14" i="4" s="1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18" i="3"/>
  <c r="R18" i="3" s="1"/>
  <c r="Q17" i="3"/>
  <c r="R17" i="3" s="1"/>
  <c r="Q16" i="3"/>
  <c r="R16" i="3" s="1"/>
  <c r="Q15" i="3"/>
  <c r="R15" i="3" s="1"/>
  <c r="Q14" i="3"/>
  <c r="R14" i="3" s="1"/>
  <c r="Q11" i="3"/>
  <c r="R11" i="3" s="1"/>
  <c r="Q10" i="3"/>
  <c r="R10" i="3" s="1"/>
  <c r="Q9" i="3"/>
  <c r="R9" i="3" s="1"/>
  <c r="Q8" i="3"/>
  <c r="R8" i="3" s="1"/>
  <c r="Q7" i="3"/>
  <c r="R7" i="3" s="1"/>
  <c r="Q18" i="16"/>
  <c r="R18" i="16" s="1"/>
  <c r="Q17" i="16"/>
  <c r="R17" i="16" s="1"/>
  <c r="Q16" i="16"/>
  <c r="R16" i="16" s="1"/>
  <c r="Q15" i="16"/>
  <c r="R15" i="16" s="1"/>
  <c r="Q14" i="16"/>
  <c r="R14" i="16" s="1"/>
  <c r="Q13" i="16"/>
  <c r="R13" i="16" s="1"/>
  <c r="Q12" i="16"/>
  <c r="R12" i="16" s="1"/>
  <c r="Q11" i="16"/>
  <c r="R11" i="16" s="1"/>
  <c r="Q10" i="16"/>
  <c r="R10" i="16" s="1"/>
  <c r="Q9" i="16"/>
  <c r="R9" i="16" s="1"/>
  <c r="Q8" i="16"/>
  <c r="R8" i="16" s="1"/>
  <c r="Q7" i="16"/>
  <c r="R7" i="16" s="1"/>
  <c r="Q6" i="16"/>
  <c r="R6" i="16" s="1"/>
  <c r="N28" i="10"/>
  <c r="N27" i="10"/>
  <c r="N26" i="10"/>
  <c r="N25" i="10"/>
  <c r="N24" i="10"/>
  <c r="O34" i="9"/>
  <c r="N28" i="9"/>
  <c r="N27" i="9"/>
  <c r="O35" i="9" s="1"/>
  <c r="N26" i="9"/>
  <c r="N28" i="8"/>
  <c r="N27" i="8"/>
  <c r="N26" i="8"/>
  <c r="N25" i="8"/>
  <c r="N24" i="8"/>
  <c r="N28" i="7"/>
  <c r="N27" i="7"/>
  <c r="N26" i="7"/>
  <c r="N25" i="7"/>
  <c r="N24" i="7"/>
  <c r="N28" i="6"/>
  <c r="N27" i="6"/>
  <c r="N26" i="6"/>
  <c r="N28" i="5"/>
  <c r="N27" i="5"/>
  <c r="N26" i="5"/>
  <c r="N25" i="5"/>
  <c r="N24" i="5"/>
  <c r="N28" i="4"/>
  <c r="N27" i="4"/>
  <c r="N26" i="4"/>
  <c r="N25" i="4"/>
  <c r="N24" i="4"/>
  <c r="N27" i="3"/>
  <c r="N26" i="3"/>
  <c r="N28" i="16"/>
  <c r="N27" i="16"/>
  <c r="N26" i="16"/>
  <c r="N25" i="16"/>
  <c r="N24" i="16"/>
  <c r="T26" i="9" l="1"/>
  <c r="R27" i="7"/>
  <c r="T27" i="9"/>
  <c r="R19" i="5"/>
  <c r="R19" i="10"/>
  <c r="R25" i="10"/>
  <c r="R27" i="10"/>
  <c r="R24" i="10"/>
  <c r="R26" i="10"/>
  <c r="R28" i="10"/>
  <c r="R19" i="8"/>
  <c r="R25" i="8"/>
  <c r="R27" i="8"/>
  <c r="R24" i="8"/>
  <c r="R26" i="8"/>
  <c r="R28" i="8"/>
  <c r="R24" i="7"/>
  <c r="R19" i="7"/>
  <c r="R26" i="7"/>
  <c r="R28" i="7"/>
  <c r="R25" i="7"/>
  <c r="R26" i="5"/>
  <c r="R24" i="5"/>
  <c r="R27" i="5"/>
  <c r="R28" i="5"/>
  <c r="R25" i="5"/>
  <c r="R19" i="4"/>
  <c r="R25" i="4"/>
  <c r="R27" i="4"/>
  <c r="R24" i="4"/>
  <c r="R26" i="4"/>
  <c r="R28" i="4"/>
  <c r="R26" i="3"/>
  <c r="R27" i="3"/>
  <c r="R26" i="16"/>
  <c r="R24" i="16"/>
  <c r="R25" i="16"/>
  <c r="R27" i="16"/>
  <c r="R28" i="16"/>
  <c r="R19" i="16" l="1"/>
  <c r="G11" i="10"/>
  <c r="G8" i="10"/>
  <c r="N13" i="9" l="1"/>
  <c r="N24" i="9" s="1"/>
  <c r="M13" i="9"/>
  <c r="S13" i="9" s="1"/>
  <c r="T13" i="9" s="1"/>
  <c r="T24" i="9" s="1"/>
  <c r="N6" i="9"/>
  <c r="M6" i="9"/>
  <c r="S6" i="9" s="1"/>
  <c r="G8" i="9"/>
  <c r="O32" i="9" l="1"/>
  <c r="T6" i="9"/>
  <c r="T25" i="9" s="1"/>
  <c r="N25" i="9"/>
  <c r="O33" i="9" s="1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N13" i="6" l="1"/>
  <c r="N24" i="6" s="1"/>
  <c r="M13" i="6"/>
  <c r="M7" i="6"/>
  <c r="N6" i="6"/>
  <c r="N25" i="6" s="1"/>
  <c r="N35" i="6" s="1"/>
  <c r="M6" i="6"/>
  <c r="N34" i="6" l="1"/>
  <c r="N19" i="10"/>
  <c r="M19" i="10"/>
  <c r="F19" i="10"/>
  <c r="E19" i="10"/>
  <c r="O18" i="10"/>
  <c r="J18" i="10"/>
  <c r="I18" i="10"/>
  <c r="S18" i="10" s="1"/>
  <c r="T18" i="10" s="1"/>
  <c r="U18" i="10" s="1"/>
  <c r="G18" i="10"/>
  <c r="O17" i="10"/>
  <c r="J17" i="10"/>
  <c r="I17" i="10"/>
  <c r="S17" i="10" s="1"/>
  <c r="T17" i="10" s="1"/>
  <c r="U17" i="10" s="1"/>
  <c r="G17" i="10"/>
  <c r="O16" i="10"/>
  <c r="J16" i="10"/>
  <c r="I16" i="10"/>
  <c r="S16" i="10" s="1"/>
  <c r="T16" i="10" s="1"/>
  <c r="U16" i="10" s="1"/>
  <c r="G16" i="10"/>
  <c r="O15" i="10"/>
  <c r="J15" i="10"/>
  <c r="I15" i="10"/>
  <c r="S15" i="10" s="1"/>
  <c r="T15" i="10" s="1"/>
  <c r="U15" i="10" s="1"/>
  <c r="G15" i="10"/>
  <c r="O14" i="10"/>
  <c r="J14" i="10"/>
  <c r="I14" i="10"/>
  <c r="S14" i="10" s="1"/>
  <c r="T14" i="10" s="1"/>
  <c r="U14" i="10" s="1"/>
  <c r="G14" i="10"/>
  <c r="O13" i="10"/>
  <c r="J13" i="10"/>
  <c r="J24" i="10" s="1"/>
  <c r="O24" i="10" s="1"/>
  <c r="I13" i="10"/>
  <c r="S13" i="10" s="1"/>
  <c r="T13" i="10" s="1"/>
  <c r="U13" i="10" s="1"/>
  <c r="G13" i="10"/>
  <c r="O12" i="10"/>
  <c r="J12" i="10"/>
  <c r="J28" i="10" s="1"/>
  <c r="O28" i="10" s="1"/>
  <c r="I12" i="10"/>
  <c r="S12" i="10" s="1"/>
  <c r="T12" i="10" s="1"/>
  <c r="U12" i="10" s="1"/>
  <c r="U28" i="10" s="1"/>
  <c r="G12" i="10"/>
  <c r="O11" i="10"/>
  <c r="J11" i="10"/>
  <c r="I11" i="10"/>
  <c r="S11" i="10" s="1"/>
  <c r="T11" i="10" s="1"/>
  <c r="U11" i="10" s="1"/>
  <c r="O10" i="10"/>
  <c r="J10" i="10"/>
  <c r="I10" i="10"/>
  <c r="S10" i="10" s="1"/>
  <c r="G10" i="10"/>
  <c r="O9" i="10"/>
  <c r="J9" i="10"/>
  <c r="I9" i="10"/>
  <c r="S9" i="10" s="1"/>
  <c r="G9" i="10"/>
  <c r="O8" i="10"/>
  <c r="J8" i="10"/>
  <c r="I8" i="10"/>
  <c r="S8" i="10" s="1"/>
  <c r="O7" i="10"/>
  <c r="J7" i="10"/>
  <c r="I7" i="10"/>
  <c r="S7" i="10" s="1"/>
  <c r="T7" i="10" s="1"/>
  <c r="U7" i="10" s="1"/>
  <c r="G7" i="10"/>
  <c r="O6" i="10"/>
  <c r="J6" i="10"/>
  <c r="I6" i="10"/>
  <c r="G6" i="10"/>
  <c r="N19" i="9"/>
  <c r="M19" i="9"/>
  <c r="F19" i="9"/>
  <c r="E19" i="9"/>
  <c r="O18" i="9"/>
  <c r="J18" i="9"/>
  <c r="I18" i="9"/>
  <c r="Q18" i="9" s="1"/>
  <c r="U18" i="9" s="1"/>
  <c r="G18" i="9"/>
  <c r="O17" i="9"/>
  <c r="J17" i="9"/>
  <c r="I17" i="9"/>
  <c r="Q17" i="9" s="1"/>
  <c r="U17" i="9" s="1"/>
  <c r="G17" i="9"/>
  <c r="O16" i="9"/>
  <c r="J16" i="9"/>
  <c r="I16" i="9"/>
  <c r="Q16" i="9" s="1"/>
  <c r="U16" i="9" s="1"/>
  <c r="G16" i="9"/>
  <c r="O15" i="9"/>
  <c r="J15" i="9"/>
  <c r="I15" i="9"/>
  <c r="Q15" i="9" s="1"/>
  <c r="U15" i="9" s="1"/>
  <c r="G15" i="9"/>
  <c r="O14" i="9"/>
  <c r="J14" i="9"/>
  <c r="I14" i="9"/>
  <c r="Q14" i="9" s="1"/>
  <c r="U14" i="9" s="1"/>
  <c r="G14" i="9"/>
  <c r="O13" i="9"/>
  <c r="J13" i="9"/>
  <c r="I13" i="9"/>
  <c r="Q13" i="9" s="1"/>
  <c r="U13" i="9" s="1"/>
  <c r="U24" i="9" s="1"/>
  <c r="G13" i="9"/>
  <c r="O12" i="9"/>
  <c r="J12" i="9"/>
  <c r="I12" i="9"/>
  <c r="Q12" i="9" s="1"/>
  <c r="U12" i="9" s="1"/>
  <c r="U28" i="9" s="1"/>
  <c r="G12" i="9"/>
  <c r="O11" i="9"/>
  <c r="J11" i="9"/>
  <c r="I11" i="9"/>
  <c r="Q11" i="9" s="1"/>
  <c r="U11" i="9" s="1"/>
  <c r="G11" i="9"/>
  <c r="O10" i="9"/>
  <c r="J10" i="9"/>
  <c r="I10" i="9"/>
  <c r="Q10" i="9" s="1"/>
  <c r="U10" i="9" s="1"/>
  <c r="G10" i="9"/>
  <c r="O9" i="9"/>
  <c r="J9" i="9"/>
  <c r="I9" i="9"/>
  <c r="Q9" i="9" s="1"/>
  <c r="U9" i="9" s="1"/>
  <c r="U26" i="9" s="1"/>
  <c r="G9" i="9"/>
  <c r="O8" i="9"/>
  <c r="J8" i="9"/>
  <c r="I8" i="9"/>
  <c r="Q8" i="9" s="1"/>
  <c r="U8" i="9" s="1"/>
  <c r="O7" i="9"/>
  <c r="J7" i="9"/>
  <c r="I7" i="9"/>
  <c r="Q7" i="9" s="1"/>
  <c r="U7" i="9" s="1"/>
  <c r="G7" i="9"/>
  <c r="O6" i="9"/>
  <c r="J6" i="9"/>
  <c r="I6" i="9"/>
  <c r="Q6" i="9" s="1"/>
  <c r="U6" i="9" s="1"/>
  <c r="G6" i="9"/>
  <c r="N19" i="8"/>
  <c r="M19" i="8"/>
  <c r="F19" i="8"/>
  <c r="E19" i="8"/>
  <c r="O18" i="8"/>
  <c r="J18" i="8"/>
  <c r="I18" i="8"/>
  <c r="S18" i="8" s="1"/>
  <c r="G18" i="8"/>
  <c r="O17" i="8"/>
  <c r="J17" i="8"/>
  <c r="I17" i="8"/>
  <c r="S17" i="8" s="1"/>
  <c r="G17" i="8"/>
  <c r="O16" i="8"/>
  <c r="J16" i="8"/>
  <c r="I16" i="8"/>
  <c r="S16" i="8" s="1"/>
  <c r="G16" i="8"/>
  <c r="O15" i="8"/>
  <c r="J15" i="8"/>
  <c r="I15" i="8"/>
  <c r="S15" i="8" s="1"/>
  <c r="G15" i="8"/>
  <c r="O14" i="8"/>
  <c r="J14" i="8"/>
  <c r="I14" i="8"/>
  <c r="S14" i="8" s="1"/>
  <c r="G14" i="8"/>
  <c r="O13" i="8"/>
  <c r="J13" i="8"/>
  <c r="I13" i="8"/>
  <c r="S13" i="8" s="1"/>
  <c r="G13" i="8"/>
  <c r="O12" i="8"/>
  <c r="J12" i="8"/>
  <c r="J28" i="8" s="1"/>
  <c r="O28" i="8" s="1"/>
  <c r="I12" i="8"/>
  <c r="S12" i="8" s="1"/>
  <c r="G12" i="8"/>
  <c r="O11" i="8"/>
  <c r="J11" i="8"/>
  <c r="I11" i="8"/>
  <c r="S11" i="8" s="1"/>
  <c r="G11" i="8"/>
  <c r="O10" i="8"/>
  <c r="J10" i="8"/>
  <c r="I10" i="8"/>
  <c r="S10" i="8" s="1"/>
  <c r="G10" i="8"/>
  <c r="O9" i="8"/>
  <c r="J9" i="8"/>
  <c r="I9" i="8"/>
  <c r="S9" i="8" s="1"/>
  <c r="G9" i="8"/>
  <c r="O8" i="8"/>
  <c r="J8" i="8"/>
  <c r="I8" i="8"/>
  <c r="S8" i="8" s="1"/>
  <c r="G8" i="8"/>
  <c r="O7" i="8"/>
  <c r="J7" i="8"/>
  <c r="I7" i="8"/>
  <c r="S7" i="8" s="1"/>
  <c r="G7" i="8"/>
  <c r="O6" i="8"/>
  <c r="J6" i="8"/>
  <c r="I6" i="8"/>
  <c r="G6" i="8"/>
  <c r="N19" i="7"/>
  <c r="M19" i="7"/>
  <c r="F19" i="7"/>
  <c r="E19" i="7"/>
  <c r="O18" i="7"/>
  <c r="J18" i="7"/>
  <c r="I18" i="7"/>
  <c r="S18" i="7" s="1"/>
  <c r="O17" i="7"/>
  <c r="J17" i="7"/>
  <c r="I17" i="7"/>
  <c r="S17" i="7" s="1"/>
  <c r="T17" i="7" s="1"/>
  <c r="U17" i="7" s="1"/>
  <c r="O16" i="7"/>
  <c r="J16" i="7"/>
  <c r="I16" i="7"/>
  <c r="S16" i="7" s="1"/>
  <c r="O15" i="7"/>
  <c r="J15" i="7"/>
  <c r="I15" i="7"/>
  <c r="S15" i="7" s="1"/>
  <c r="O14" i="7"/>
  <c r="J14" i="7"/>
  <c r="I14" i="7"/>
  <c r="S14" i="7" s="1"/>
  <c r="O13" i="7"/>
  <c r="J13" i="7"/>
  <c r="I13" i="7"/>
  <c r="S13" i="7" s="1"/>
  <c r="T13" i="7" s="1"/>
  <c r="U13" i="7" s="1"/>
  <c r="O12" i="7"/>
  <c r="J12" i="7"/>
  <c r="J28" i="7" s="1"/>
  <c r="O28" i="7" s="1"/>
  <c r="I12" i="7"/>
  <c r="S12" i="7" s="1"/>
  <c r="O11" i="7"/>
  <c r="J11" i="7"/>
  <c r="I11" i="7"/>
  <c r="S11" i="7" s="1"/>
  <c r="T11" i="7" s="1"/>
  <c r="U11" i="7" s="1"/>
  <c r="O10" i="7"/>
  <c r="J10" i="7"/>
  <c r="I10" i="7"/>
  <c r="S10" i="7" s="1"/>
  <c r="O9" i="7"/>
  <c r="J9" i="7"/>
  <c r="I9" i="7"/>
  <c r="S9" i="7" s="1"/>
  <c r="T9" i="7" s="1"/>
  <c r="U9" i="7" s="1"/>
  <c r="O8" i="7"/>
  <c r="J8" i="7"/>
  <c r="I8" i="7"/>
  <c r="S8" i="7" s="1"/>
  <c r="O7" i="7"/>
  <c r="J7" i="7"/>
  <c r="I7" i="7"/>
  <c r="S7" i="7" s="1"/>
  <c r="T7" i="7" s="1"/>
  <c r="U7" i="7" s="1"/>
  <c r="O6" i="7"/>
  <c r="J6" i="7"/>
  <c r="I6" i="7"/>
  <c r="N19" i="6"/>
  <c r="M19" i="6"/>
  <c r="O18" i="6"/>
  <c r="J18" i="6"/>
  <c r="I18" i="6"/>
  <c r="Q18" i="6" s="1"/>
  <c r="R18" i="6" s="1"/>
  <c r="G18" i="6"/>
  <c r="O17" i="6"/>
  <c r="J17" i="6"/>
  <c r="I17" i="6"/>
  <c r="Q17" i="6" s="1"/>
  <c r="G17" i="6"/>
  <c r="O16" i="6"/>
  <c r="J16" i="6"/>
  <c r="I16" i="6"/>
  <c r="Q16" i="6" s="1"/>
  <c r="R16" i="6" s="1"/>
  <c r="G16" i="6"/>
  <c r="O15" i="6"/>
  <c r="J15" i="6"/>
  <c r="I15" i="6"/>
  <c r="Q15" i="6" s="1"/>
  <c r="G15" i="6"/>
  <c r="O14" i="6"/>
  <c r="J14" i="6"/>
  <c r="I14" i="6"/>
  <c r="Q14" i="6" s="1"/>
  <c r="R14" i="6" s="1"/>
  <c r="G14" i="6"/>
  <c r="O13" i="6"/>
  <c r="J13" i="6"/>
  <c r="I13" i="6"/>
  <c r="Q13" i="6" s="1"/>
  <c r="G13" i="6"/>
  <c r="O12" i="6"/>
  <c r="J12" i="6"/>
  <c r="J28" i="6" s="1"/>
  <c r="O28" i="6" s="1"/>
  <c r="I12" i="6"/>
  <c r="Q12" i="6" s="1"/>
  <c r="R12" i="6" s="1"/>
  <c r="R28" i="6" s="1"/>
  <c r="G12" i="6"/>
  <c r="O11" i="6"/>
  <c r="J11" i="6"/>
  <c r="I11" i="6"/>
  <c r="Q11" i="6" s="1"/>
  <c r="G11" i="6"/>
  <c r="O10" i="6"/>
  <c r="J10" i="6"/>
  <c r="I10" i="6"/>
  <c r="Q10" i="6" s="1"/>
  <c r="R10" i="6" s="1"/>
  <c r="G10" i="6"/>
  <c r="O9" i="6"/>
  <c r="J9" i="6"/>
  <c r="I9" i="6"/>
  <c r="Q9" i="6" s="1"/>
  <c r="G9" i="6"/>
  <c r="O8" i="6"/>
  <c r="J8" i="6"/>
  <c r="I8" i="6"/>
  <c r="Q8" i="6" s="1"/>
  <c r="R8" i="6" s="1"/>
  <c r="G8" i="6"/>
  <c r="O7" i="6"/>
  <c r="J7" i="6"/>
  <c r="I7" i="6"/>
  <c r="Q7" i="6" s="1"/>
  <c r="G7" i="6"/>
  <c r="O6" i="6"/>
  <c r="J6" i="6"/>
  <c r="J25" i="6" s="1"/>
  <c r="F19" i="6"/>
  <c r="E19" i="6"/>
  <c r="E21" i="6" s="1"/>
  <c r="G11" i="5"/>
  <c r="G12" i="5"/>
  <c r="I11" i="5"/>
  <c r="S11" i="5" s="1"/>
  <c r="J11" i="5"/>
  <c r="J8" i="5"/>
  <c r="I8" i="5"/>
  <c r="S8" i="5" s="1"/>
  <c r="G8" i="5"/>
  <c r="G9" i="5"/>
  <c r="K11" i="8" l="1"/>
  <c r="K15" i="8"/>
  <c r="K17" i="8"/>
  <c r="T18" i="7"/>
  <c r="U18" i="7" s="1"/>
  <c r="T11" i="5"/>
  <c r="U11" i="5" s="1"/>
  <c r="T15" i="7"/>
  <c r="U15" i="7" s="1"/>
  <c r="T8" i="5"/>
  <c r="U8" i="5" s="1"/>
  <c r="T10" i="7"/>
  <c r="U10" i="7" s="1"/>
  <c r="U27" i="7" s="1"/>
  <c r="T14" i="7"/>
  <c r="U14" i="7" s="1"/>
  <c r="T7" i="8"/>
  <c r="U7" i="8" s="1"/>
  <c r="T8" i="8"/>
  <c r="U8" i="8" s="1"/>
  <c r="T9" i="8"/>
  <c r="U9" i="8" s="1"/>
  <c r="I19" i="10"/>
  <c r="S6" i="10"/>
  <c r="T6" i="10" s="1"/>
  <c r="U6" i="10" s="1"/>
  <c r="U25" i="10" s="1"/>
  <c r="J27" i="6"/>
  <c r="O27" i="6" s="1"/>
  <c r="R7" i="6"/>
  <c r="R27" i="6" s="1"/>
  <c r="S28" i="6"/>
  <c r="R17" i="6"/>
  <c r="K11" i="7"/>
  <c r="K15" i="7"/>
  <c r="U26" i="7"/>
  <c r="K7" i="8"/>
  <c r="P7" i="8" s="1"/>
  <c r="J27" i="8"/>
  <c r="O27" i="8" s="1"/>
  <c r="K9" i="8"/>
  <c r="P9" i="8" s="1"/>
  <c r="J26" i="8"/>
  <c r="O26" i="8" s="1"/>
  <c r="K13" i="8"/>
  <c r="P13" i="8" s="1"/>
  <c r="J24" i="8"/>
  <c r="O24" i="8" s="1"/>
  <c r="T8" i="7"/>
  <c r="U8" i="7" s="1"/>
  <c r="K9" i="7"/>
  <c r="P9" i="7" s="1"/>
  <c r="J26" i="7"/>
  <c r="O26" i="7" s="1"/>
  <c r="T12" i="7"/>
  <c r="U12" i="7" s="1"/>
  <c r="U28" i="7" s="1"/>
  <c r="K13" i="7"/>
  <c r="P13" i="7" s="1"/>
  <c r="J24" i="7"/>
  <c r="O24" i="7" s="1"/>
  <c r="T16" i="7"/>
  <c r="U16" i="7" s="1"/>
  <c r="U24" i="7" s="1"/>
  <c r="N21" i="8"/>
  <c r="N22" i="8" s="1"/>
  <c r="T8" i="10"/>
  <c r="U8" i="10" s="1"/>
  <c r="T9" i="10"/>
  <c r="U9" i="10" s="1"/>
  <c r="U26" i="10" s="1"/>
  <c r="T10" i="10"/>
  <c r="U10" i="10" s="1"/>
  <c r="K15" i="10"/>
  <c r="K17" i="10"/>
  <c r="K9" i="10"/>
  <c r="P9" i="10" s="1"/>
  <c r="J26" i="10"/>
  <c r="O26" i="10" s="1"/>
  <c r="O29" i="10" s="1"/>
  <c r="P29" i="10" s="1"/>
  <c r="O25" i="6"/>
  <c r="J35" i="6"/>
  <c r="J26" i="6"/>
  <c r="O26" i="6" s="1"/>
  <c r="R9" i="6"/>
  <c r="J24" i="6"/>
  <c r="R13" i="6"/>
  <c r="I19" i="7"/>
  <c r="S6" i="7"/>
  <c r="T6" i="7" s="1"/>
  <c r="U6" i="7" s="1"/>
  <c r="I19" i="8"/>
  <c r="S6" i="8"/>
  <c r="T6" i="8" s="1"/>
  <c r="U6" i="8" s="1"/>
  <c r="T10" i="8"/>
  <c r="U10" i="8" s="1"/>
  <c r="U27" i="8" s="1"/>
  <c r="T11" i="8"/>
  <c r="U11" i="8" s="1"/>
  <c r="T12" i="8"/>
  <c r="U12" i="8" s="1"/>
  <c r="U28" i="8" s="1"/>
  <c r="T13" i="8"/>
  <c r="U13" i="8" s="1"/>
  <c r="T14" i="8"/>
  <c r="U14" i="8" s="1"/>
  <c r="T15" i="8"/>
  <c r="U15" i="8" s="1"/>
  <c r="T16" i="8"/>
  <c r="U16" i="8" s="1"/>
  <c r="T17" i="8"/>
  <c r="U17" i="8" s="1"/>
  <c r="T18" i="8"/>
  <c r="U18" i="8" s="1"/>
  <c r="U25" i="9"/>
  <c r="U27" i="9"/>
  <c r="R8" i="9"/>
  <c r="V8" i="9" s="1"/>
  <c r="K9" i="9"/>
  <c r="J26" i="9"/>
  <c r="R9" i="9"/>
  <c r="R10" i="9"/>
  <c r="V10" i="9" s="1"/>
  <c r="K11" i="9"/>
  <c r="R11" i="9"/>
  <c r="V11" i="9" s="1"/>
  <c r="J28" i="9"/>
  <c r="O28" i="9" s="1"/>
  <c r="R12" i="9"/>
  <c r="K13" i="9"/>
  <c r="J24" i="9"/>
  <c r="R13" i="9"/>
  <c r="R14" i="9"/>
  <c r="V14" i="9" s="1"/>
  <c r="K15" i="9"/>
  <c r="R15" i="9"/>
  <c r="V15" i="9" s="1"/>
  <c r="R16" i="9"/>
  <c r="V16" i="9" s="1"/>
  <c r="K17" i="9"/>
  <c r="R17" i="9"/>
  <c r="V17" i="9" s="1"/>
  <c r="R18" i="9"/>
  <c r="V18" i="9" s="1"/>
  <c r="J19" i="10"/>
  <c r="N21" i="10" s="1"/>
  <c r="N22" i="10" s="1"/>
  <c r="J25" i="10"/>
  <c r="O25" i="10" s="1"/>
  <c r="J27" i="10"/>
  <c r="O27" i="10" s="1"/>
  <c r="U27" i="10"/>
  <c r="K8" i="6"/>
  <c r="R11" i="6"/>
  <c r="R15" i="6"/>
  <c r="K7" i="7"/>
  <c r="P7" i="7" s="1"/>
  <c r="J27" i="7"/>
  <c r="O27" i="7" s="1"/>
  <c r="J25" i="7"/>
  <c r="O25" i="7" s="1"/>
  <c r="J19" i="8"/>
  <c r="J25" i="8"/>
  <c r="O25" i="8" s="1"/>
  <c r="J25" i="9"/>
  <c r="R6" i="9"/>
  <c r="J27" i="9"/>
  <c r="R7" i="9"/>
  <c r="U24" i="10"/>
  <c r="K11" i="10"/>
  <c r="K8" i="10"/>
  <c r="K13" i="10"/>
  <c r="P13" i="10" s="1"/>
  <c r="K7" i="10"/>
  <c r="P7" i="10" s="1"/>
  <c r="K10" i="10"/>
  <c r="P10" i="10" s="1"/>
  <c r="K12" i="10"/>
  <c r="K16" i="10"/>
  <c r="K18" i="10"/>
  <c r="K14" i="10"/>
  <c r="I19" i="9"/>
  <c r="J19" i="9"/>
  <c r="N21" i="9" s="1"/>
  <c r="N22" i="9" s="1"/>
  <c r="K8" i="9"/>
  <c r="K10" i="9"/>
  <c r="K12" i="9"/>
  <c r="K14" i="9"/>
  <c r="K16" i="9"/>
  <c r="K18" i="9"/>
  <c r="K8" i="8"/>
  <c r="K14" i="8"/>
  <c r="K16" i="8"/>
  <c r="K10" i="8"/>
  <c r="P10" i="8" s="1"/>
  <c r="K12" i="8"/>
  <c r="K18" i="8"/>
  <c r="J19" i="7"/>
  <c r="N21" i="7" s="1"/>
  <c r="N22" i="7" s="1"/>
  <c r="K8" i="7"/>
  <c r="K10" i="7"/>
  <c r="P10" i="7" s="1"/>
  <c r="K12" i="7"/>
  <c r="K14" i="7"/>
  <c r="K16" i="7"/>
  <c r="K18" i="7"/>
  <c r="K17" i="7"/>
  <c r="K10" i="6"/>
  <c r="K16" i="6"/>
  <c r="K14" i="6"/>
  <c r="K12" i="6"/>
  <c r="K18" i="6"/>
  <c r="K7" i="9"/>
  <c r="K6" i="10"/>
  <c r="P6" i="10" s="1"/>
  <c r="K6" i="9"/>
  <c r="K6" i="8"/>
  <c r="P6" i="8" s="1"/>
  <c r="K6" i="7"/>
  <c r="P6" i="7" s="1"/>
  <c r="K7" i="6"/>
  <c r="K9" i="6"/>
  <c r="K11" i="6"/>
  <c r="K13" i="6"/>
  <c r="K15" i="6"/>
  <c r="K17" i="6"/>
  <c r="J19" i="6"/>
  <c r="N21" i="6" s="1"/>
  <c r="N22" i="6" s="1"/>
  <c r="G6" i="6"/>
  <c r="I6" i="6"/>
  <c r="F6" i="5"/>
  <c r="E6" i="5"/>
  <c r="U26" i="8" l="1"/>
  <c r="U25" i="8"/>
  <c r="R24" i="6"/>
  <c r="V7" i="9"/>
  <c r="V27" i="9" s="1"/>
  <c r="R27" i="9"/>
  <c r="I19" i="6"/>
  <c r="Q6" i="6"/>
  <c r="R6" i="6" s="1"/>
  <c r="O25" i="9"/>
  <c r="K33" i="9"/>
  <c r="V13" i="9"/>
  <c r="V24" i="9" s="1"/>
  <c r="R24" i="9"/>
  <c r="V9" i="9"/>
  <c r="V26" i="9" s="1"/>
  <c r="R26" i="9"/>
  <c r="O29" i="7"/>
  <c r="P29" i="7" s="1"/>
  <c r="O27" i="9"/>
  <c r="K35" i="9"/>
  <c r="U24" i="8"/>
  <c r="J34" i="6"/>
  <c r="O24" i="6"/>
  <c r="O29" i="8"/>
  <c r="P29" i="8" s="1"/>
  <c r="K32" i="9"/>
  <c r="O24" i="9"/>
  <c r="K34" i="9"/>
  <c r="O26" i="9"/>
  <c r="R19" i="9"/>
  <c r="V6" i="9"/>
  <c r="V25" i="9" s="1"/>
  <c r="R25" i="9"/>
  <c r="V12" i="9"/>
  <c r="V28" i="9" s="1"/>
  <c r="R28" i="9"/>
  <c r="S28" i="9" s="1"/>
  <c r="U25" i="7"/>
  <c r="R26" i="6"/>
  <c r="S26" i="6" s="1"/>
  <c r="S27" i="6"/>
  <c r="K6" i="6"/>
  <c r="N19" i="5"/>
  <c r="M19" i="5"/>
  <c r="F19" i="5"/>
  <c r="E19" i="5"/>
  <c r="O18" i="5"/>
  <c r="J18" i="5"/>
  <c r="I18" i="5"/>
  <c r="S18" i="5" s="1"/>
  <c r="G18" i="5"/>
  <c r="O17" i="5"/>
  <c r="J17" i="5"/>
  <c r="I17" i="5"/>
  <c r="S17" i="5" s="1"/>
  <c r="G17" i="5"/>
  <c r="O16" i="5"/>
  <c r="J16" i="5"/>
  <c r="I16" i="5"/>
  <c r="S16" i="5" s="1"/>
  <c r="G16" i="5"/>
  <c r="O15" i="5"/>
  <c r="J15" i="5"/>
  <c r="I15" i="5"/>
  <c r="S15" i="5" s="1"/>
  <c r="G15" i="5"/>
  <c r="O14" i="5"/>
  <c r="J14" i="5"/>
  <c r="I14" i="5"/>
  <c r="S14" i="5" s="1"/>
  <c r="G14" i="5"/>
  <c r="O13" i="5"/>
  <c r="J13" i="5"/>
  <c r="J24" i="5" s="1"/>
  <c r="O24" i="5" s="1"/>
  <c r="I13" i="5"/>
  <c r="S13" i="5" s="1"/>
  <c r="G13" i="5"/>
  <c r="O12" i="5"/>
  <c r="J12" i="5"/>
  <c r="J28" i="5" s="1"/>
  <c r="O28" i="5" s="1"/>
  <c r="I12" i="5"/>
  <c r="S12" i="5" s="1"/>
  <c r="O11" i="5"/>
  <c r="O10" i="5"/>
  <c r="J10" i="5"/>
  <c r="I10" i="5"/>
  <c r="S10" i="5" s="1"/>
  <c r="G10" i="5"/>
  <c r="O9" i="5"/>
  <c r="J9" i="5"/>
  <c r="J26" i="5" s="1"/>
  <c r="O26" i="5" s="1"/>
  <c r="I9" i="5"/>
  <c r="S9" i="5" s="1"/>
  <c r="O8" i="5"/>
  <c r="O7" i="5"/>
  <c r="J7" i="5"/>
  <c r="J27" i="5" s="1"/>
  <c r="O27" i="5" s="1"/>
  <c r="I7" i="5"/>
  <c r="S7" i="5" s="1"/>
  <c r="G7" i="5"/>
  <c r="O6" i="5"/>
  <c r="J6" i="5"/>
  <c r="J25" i="5" s="1"/>
  <c r="O25" i="5" s="1"/>
  <c r="I6" i="5"/>
  <c r="S6" i="5" s="1"/>
  <c r="G6" i="5"/>
  <c r="F19" i="4"/>
  <c r="E19" i="4"/>
  <c r="O18" i="4"/>
  <c r="J18" i="4"/>
  <c r="I18" i="4"/>
  <c r="S18" i="4" s="1"/>
  <c r="G18" i="4"/>
  <c r="O17" i="4"/>
  <c r="J17" i="4"/>
  <c r="I17" i="4"/>
  <c r="S17" i="4" s="1"/>
  <c r="G17" i="4"/>
  <c r="O16" i="4"/>
  <c r="J16" i="4"/>
  <c r="I16" i="4"/>
  <c r="S16" i="4" s="1"/>
  <c r="G16" i="4"/>
  <c r="O15" i="4"/>
  <c r="J15" i="4"/>
  <c r="I15" i="4"/>
  <c r="S15" i="4" s="1"/>
  <c r="G15" i="4"/>
  <c r="O14" i="4"/>
  <c r="J14" i="4"/>
  <c r="I14" i="4"/>
  <c r="S14" i="4" s="1"/>
  <c r="G14" i="4"/>
  <c r="O13" i="4"/>
  <c r="J13" i="4"/>
  <c r="J24" i="4" s="1"/>
  <c r="O24" i="4" s="1"/>
  <c r="I13" i="4"/>
  <c r="S13" i="4" s="1"/>
  <c r="G13" i="4"/>
  <c r="O12" i="4"/>
  <c r="J12" i="4"/>
  <c r="I12" i="4"/>
  <c r="S12" i="4" s="1"/>
  <c r="G12" i="4"/>
  <c r="O11" i="4"/>
  <c r="J11" i="4"/>
  <c r="I11" i="4"/>
  <c r="S11" i="4" s="1"/>
  <c r="G11" i="4"/>
  <c r="O10" i="4"/>
  <c r="J10" i="4"/>
  <c r="I10" i="4"/>
  <c r="S10" i="4" s="1"/>
  <c r="G10" i="4"/>
  <c r="O9" i="4"/>
  <c r="J9" i="4"/>
  <c r="J26" i="4" s="1"/>
  <c r="O26" i="4" s="1"/>
  <c r="I9" i="4"/>
  <c r="S9" i="4" s="1"/>
  <c r="G9" i="4"/>
  <c r="O8" i="4"/>
  <c r="J8" i="4"/>
  <c r="I8" i="4"/>
  <c r="S8" i="4" s="1"/>
  <c r="G8" i="4"/>
  <c r="O7" i="4"/>
  <c r="J7" i="4"/>
  <c r="I7" i="4"/>
  <c r="S7" i="4" s="1"/>
  <c r="G7" i="4"/>
  <c r="N19" i="4"/>
  <c r="M19" i="4"/>
  <c r="I6" i="4"/>
  <c r="S6" i="4" s="1"/>
  <c r="G6" i="4"/>
  <c r="M12" i="3"/>
  <c r="Q12" i="3" s="1"/>
  <c r="N12" i="3"/>
  <c r="N28" i="3" s="1"/>
  <c r="T16" i="4" l="1"/>
  <c r="U16" i="4" s="1"/>
  <c r="T17" i="4"/>
  <c r="U17" i="4" s="1"/>
  <c r="T18" i="4"/>
  <c r="U18" i="4" s="1"/>
  <c r="R12" i="3"/>
  <c r="R28" i="3" s="1"/>
  <c r="S27" i="9"/>
  <c r="T7" i="4"/>
  <c r="U7" i="4" s="1"/>
  <c r="U27" i="4" s="1"/>
  <c r="T8" i="4"/>
  <c r="U8" i="4" s="1"/>
  <c r="T9" i="4"/>
  <c r="U9" i="4" s="1"/>
  <c r="U26" i="4" s="1"/>
  <c r="T10" i="4"/>
  <c r="U10" i="4" s="1"/>
  <c r="T11" i="4"/>
  <c r="U11" i="4" s="1"/>
  <c r="T12" i="4"/>
  <c r="U12" i="4" s="1"/>
  <c r="U28" i="4" s="1"/>
  <c r="T13" i="4"/>
  <c r="U13" i="4" s="1"/>
  <c r="U24" i="4" s="1"/>
  <c r="T14" i="4"/>
  <c r="U14" i="4" s="1"/>
  <c r="T15" i="4"/>
  <c r="U15" i="4" s="1"/>
  <c r="T6" i="5"/>
  <c r="U6" i="5" s="1"/>
  <c r="T7" i="5"/>
  <c r="U7" i="5" s="1"/>
  <c r="T9" i="5"/>
  <c r="U9" i="5" s="1"/>
  <c r="U26" i="5" s="1"/>
  <c r="T10" i="5"/>
  <c r="U10" i="5" s="1"/>
  <c r="T12" i="5"/>
  <c r="U12" i="5" s="1"/>
  <c r="U28" i="5" s="1"/>
  <c r="T13" i="5"/>
  <c r="U13" i="5" s="1"/>
  <c r="T14" i="5"/>
  <c r="U14" i="5" s="1"/>
  <c r="T15" i="5"/>
  <c r="U15" i="5" s="1"/>
  <c r="T16" i="5"/>
  <c r="U16" i="5" s="1"/>
  <c r="T17" i="5"/>
  <c r="U17" i="5" s="1"/>
  <c r="T18" i="5"/>
  <c r="U18" i="5" s="1"/>
  <c r="S26" i="9"/>
  <c r="R25" i="6"/>
  <c r="S25" i="6" s="1"/>
  <c r="R19" i="6"/>
  <c r="O29" i="5"/>
  <c r="P29" i="5" s="1"/>
  <c r="S24" i="9"/>
  <c r="O29" i="9"/>
  <c r="P29" i="9" s="1"/>
  <c r="S24" i="6"/>
  <c r="O29" i="6"/>
  <c r="P29" i="6" s="1"/>
  <c r="K7" i="4"/>
  <c r="P7" i="4" s="1"/>
  <c r="J27" i="4"/>
  <c r="O27" i="4" s="1"/>
  <c r="K8" i="4"/>
  <c r="K10" i="4"/>
  <c r="P10" i="4" s="1"/>
  <c r="K11" i="4"/>
  <c r="K12" i="4"/>
  <c r="J28" i="4"/>
  <c r="O28" i="4" s="1"/>
  <c r="K14" i="4"/>
  <c r="K15" i="4"/>
  <c r="K16" i="4"/>
  <c r="K18" i="4"/>
  <c r="S25" i="9"/>
  <c r="I19" i="5"/>
  <c r="K8" i="5"/>
  <c r="K16" i="5"/>
  <c r="K14" i="5"/>
  <c r="K12" i="5"/>
  <c r="K10" i="5"/>
  <c r="P10" i="5" s="1"/>
  <c r="K6" i="5"/>
  <c r="P6" i="5" s="1"/>
  <c r="K18" i="5"/>
  <c r="K7" i="5"/>
  <c r="P7" i="5" s="1"/>
  <c r="K9" i="5"/>
  <c r="P9" i="5" s="1"/>
  <c r="K11" i="5"/>
  <c r="K13" i="5"/>
  <c r="P13" i="5" s="1"/>
  <c r="K15" i="5"/>
  <c r="K17" i="5"/>
  <c r="J19" i="5"/>
  <c r="N21" i="5" s="1"/>
  <c r="N22" i="5" s="1"/>
  <c r="K9" i="4"/>
  <c r="P9" i="4" s="1"/>
  <c r="I19" i="4"/>
  <c r="K13" i="4"/>
  <c r="P13" i="4" s="1"/>
  <c r="K17" i="4"/>
  <c r="J6" i="4"/>
  <c r="J25" i="4" s="1"/>
  <c r="O25" i="4" s="1"/>
  <c r="O29" i="4" s="1"/>
  <c r="P29" i="4" s="1"/>
  <c r="O6" i="4"/>
  <c r="N13" i="3"/>
  <c r="N24" i="3" s="1"/>
  <c r="M13" i="3"/>
  <c r="Q13" i="3" s="1"/>
  <c r="N6" i="3"/>
  <c r="J6" i="3" s="1"/>
  <c r="M6" i="3"/>
  <c r="Q6" i="3" s="1"/>
  <c r="J18" i="3"/>
  <c r="I18" i="3"/>
  <c r="S18" i="3" s="1"/>
  <c r="J17" i="3"/>
  <c r="I17" i="3"/>
  <c r="S17" i="3" s="1"/>
  <c r="T17" i="3" s="1"/>
  <c r="U17" i="3" s="1"/>
  <c r="J16" i="3"/>
  <c r="I16" i="3"/>
  <c r="S16" i="3" s="1"/>
  <c r="J15" i="3"/>
  <c r="I15" i="3"/>
  <c r="S15" i="3" s="1"/>
  <c r="T15" i="3" s="1"/>
  <c r="U15" i="3" s="1"/>
  <c r="J14" i="3"/>
  <c r="I14" i="3"/>
  <c r="S14" i="3" s="1"/>
  <c r="I13" i="3"/>
  <c r="S13" i="3" s="1"/>
  <c r="J11" i="3"/>
  <c r="I11" i="3"/>
  <c r="S11" i="3" s="1"/>
  <c r="J10" i="3"/>
  <c r="I10" i="3"/>
  <c r="S10" i="3" s="1"/>
  <c r="T10" i="3" s="1"/>
  <c r="U10" i="3" s="1"/>
  <c r="J9" i="3"/>
  <c r="J26" i="3" s="1"/>
  <c r="O26" i="3" s="1"/>
  <c r="I9" i="3"/>
  <c r="S9" i="3" s="1"/>
  <c r="J8" i="3"/>
  <c r="I8" i="3"/>
  <c r="S8" i="3" s="1"/>
  <c r="T8" i="3" s="1"/>
  <c r="U8" i="3" s="1"/>
  <c r="J7" i="3"/>
  <c r="J27" i="3" s="1"/>
  <c r="O27" i="3" s="1"/>
  <c r="I7" i="3"/>
  <c r="S7" i="3" s="1"/>
  <c r="I6" i="3" l="1"/>
  <c r="S6" i="3" s="1"/>
  <c r="T6" i="3" s="1"/>
  <c r="T7" i="3"/>
  <c r="U7" i="3" s="1"/>
  <c r="U27" i="3" s="1"/>
  <c r="T9" i="3"/>
  <c r="U9" i="3" s="1"/>
  <c r="T11" i="3"/>
  <c r="U11" i="3" s="1"/>
  <c r="T14" i="3"/>
  <c r="U14" i="3" s="1"/>
  <c r="T16" i="3"/>
  <c r="U16" i="3" s="1"/>
  <c r="T18" i="3"/>
  <c r="U18" i="3" s="1"/>
  <c r="R13" i="3"/>
  <c r="N33" i="3"/>
  <c r="U24" i="5"/>
  <c r="U27" i="5"/>
  <c r="J25" i="3"/>
  <c r="J34" i="3" s="1"/>
  <c r="J13" i="3"/>
  <c r="J24" i="3" s="1"/>
  <c r="J33" i="3" s="1"/>
  <c r="R6" i="3"/>
  <c r="N25" i="3"/>
  <c r="U25" i="5"/>
  <c r="T6" i="4"/>
  <c r="U6" i="4" s="1"/>
  <c r="U25" i="4" s="1"/>
  <c r="K6" i="4"/>
  <c r="P6" i="4" s="1"/>
  <c r="J19" i="4"/>
  <c r="N21" i="4" s="1"/>
  <c r="N22" i="4" s="1"/>
  <c r="O18" i="3"/>
  <c r="O17" i="3"/>
  <c r="O16" i="3"/>
  <c r="O15" i="3"/>
  <c r="O14" i="3"/>
  <c r="O13" i="3"/>
  <c r="O11" i="3"/>
  <c r="O10" i="3"/>
  <c r="O9" i="3"/>
  <c r="O8" i="3"/>
  <c r="O7" i="3"/>
  <c r="O6" i="3"/>
  <c r="F19" i="16"/>
  <c r="E19" i="16"/>
  <c r="O18" i="16"/>
  <c r="J18" i="16"/>
  <c r="I18" i="16"/>
  <c r="S18" i="16" s="1"/>
  <c r="G18" i="16"/>
  <c r="O17" i="16"/>
  <c r="J17" i="16"/>
  <c r="G17" i="16"/>
  <c r="O16" i="16"/>
  <c r="I16" i="16"/>
  <c r="S16" i="16" s="1"/>
  <c r="G16" i="16"/>
  <c r="O15" i="16"/>
  <c r="J15" i="16"/>
  <c r="G15" i="16"/>
  <c r="O14" i="16"/>
  <c r="I14" i="16"/>
  <c r="S14" i="16" s="1"/>
  <c r="G14" i="16"/>
  <c r="O13" i="16"/>
  <c r="J13" i="16"/>
  <c r="I13" i="16"/>
  <c r="S13" i="16" s="1"/>
  <c r="T13" i="16" s="1"/>
  <c r="U13" i="16" s="1"/>
  <c r="G13" i="16"/>
  <c r="N19" i="16"/>
  <c r="N21" i="16" s="1"/>
  <c r="N22" i="16" s="1"/>
  <c r="I12" i="16"/>
  <c r="S12" i="16" s="1"/>
  <c r="G12" i="16"/>
  <c r="O11" i="16"/>
  <c r="J11" i="16"/>
  <c r="I11" i="16"/>
  <c r="S11" i="16" s="1"/>
  <c r="G11" i="16"/>
  <c r="O10" i="16"/>
  <c r="J10" i="16"/>
  <c r="I10" i="16"/>
  <c r="S10" i="16" s="1"/>
  <c r="G10" i="16"/>
  <c r="O9" i="16"/>
  <c r="J9" i="16"/>
  <c r="J26" i="16" s="1"/>
  <c r="O26" i="16" s="1"/>
  <c r="I9" i="16"/>
  <c r="S9" i="16" s="1"/>
  <c r="G9" i="16"/>
  <c r="M19" i="16"/>
  <c r="J8" i="16"/>
  <c r="G8" i="16"/>
  <c r="O7" i="16"/>
  <c r="J7" i="16"/>
  <c r="I7" i="16"/>
  <c r="S7" i="16" s="1"/>
  <c r="G7" i="16"/>
  <c r="O6" i="16"/>
  <c r="J6" i="16"/>
  <c r="I6" i="16"/>
  <c r="S6" i="16" s="1"/>
  <c r="G6" i="16"/>
  <c r="U26" i="3" l="1"/>
  <c r="T6" i="16"/>
  <c r="U6" i="16" s="1"/>
  <c r="T7" i="16"/>
  <c r="U7" i="16" s="1"/>
  <c r="T9" i="16"/>
  <c r="U9" i="16" s="1"/>
  <c r="T10" i="16"/>
  <c r="U10" i="16" s="1"/>
  <c r="T11" i="16"/>
  <c r="U11" i="16" s="1"/>
  <c r="O25" i="3"/>
  <c r="N34" i="3"/>
  <c r="R24" i="3"/>
  <c r="J25" i="16"/>
  <c r="O25" i="16" s="1"/>
  <c r="J27" i="16"/>
  <c r="O27" i="16" s="1"/>
  <c r="R19" i="3"/>
  <c r="U6" i="3"/>
  <c r="U25" i="3" s="1"/>
  <c r="R25" i="3"/>
  <c r="T18" i="16"/>
  <c r="U18" i="16" s="1"/>
  <c r="O24" i="3"/>
  <c r="T13" i="3"/>
  <c r="U13" i="3" s="1"/>
  <c r="U24" i="3" s="1"/>
  <c r="K18" i="16"/>
  <c r="K7" i="16"/>
  <c r="P7" i="16" s="1"/>
  <c r="K9" i="16"/>
  <c r="P9" i="16" s="1"/>
  <c r="K11" i="16"/>
  <c r="K10" i="16"/>
  <c r="P10" i="16" s="1"/>
  <c r="K13" i="16"/>
  <c r="P13" i="16" s="1"/>
  <c r="K6" i="16"/>
  <c r="P6" i="16" s="1"/>
  <c r="I8" i="16"/>
  <c r="S8" i="16" s="1"/>
  <c r="T8" i="16" s="1"/>
  <c r="U8" i="16" s="1"/>
  <c r="O8" i="16"/>
  <c r="J12" i="16"/>
  <c r="O12" i="16"/>
  <c r="J14" i="16"/>
  <c r="K14" i="16" s="1"/>
  <c r="I15" i="16"/>
  <c r="J16" i="16"/>
  <c r="K16" i="16" s="1"/>
  <c r="I17" i="16"/>
  <c r="U27" i="16" l="1"/>
  <c r="U26" i="16"/>
  <c r="K12" i="16"/>
  <c r="J28" i="16"/>
  <c r="O28" i="16" s="1"/>
  <c r="J24" i="16"/>
  <c r="O24" i="16" s="1"/>
  <c r="K17" i="16"/>
  <c r="S17" i="16"/>
  <c r="T17" i="16" s="1"/>
  <c r="U17" i="16" s="1"/>
  <c r="U25" i="16" s="1"/>
  <c r="K15" i="16"/>
  <c r="S15" i="16"/>
  <c r="T15" i="16" s="1"/>
  <c r="U15" i="16" s="1"/>
  <c r="T14" i="16"/>
  <c r="U14" i="16" s="1"/>
  <c r="T16" i="16"/>
  <c r="U16" i="16" s="1"/>
  <c r="T12" i="16"/>
  <c r="U12" i="16" s="1"/>
  <c r="U28" i="16" s="1"/>
  <c r="I19" i="16"/>
  <c r="K8" i="16"/>
  <c r="J19" i="16"/>
  <c r="O29" i="16" l="1"/>
  <c r="P29" i="16" s="1"/>
  <c r="U24" i="16"/>
  <c r="K7" i="3" l="1"/>
  <c r="P7" i="3" s="1"/>
  <c r="K14" i="3"/>
  <c r="K18" i="3"/>
  <c r="K6" i="3"/>
  <c r="P6" i="3" s="1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F19" i="3"/>
  <c r="E19" i="3"/>
  <c r="K16" i="3"/>
  <c r="K11" i="3"/>
  <c r="K9" i="3"/>
  <c r="P9" i="3" s="1"/>
  <c r="K10" i="3"/>
  <c r="P10" i="3" s="1"/>
  <c r="K13" i="3"/>
  <c r="P13" i="3" s="1"/>
  <c r="K17" i="3"/>
  <c r="K15" i="3"/>
  <c r="K8" i="3"/>
  <c r="J12" i="3" l="1"/>
  <c r="J28" i="3" s="1"/>
  <c r="O28" i="3" s="1"/>
  <c r="O29" i="3" s="1"/>
  <c r="P29" i="3" s="1"/>
  <c r="N19" i="3"/>
  <c r="N21" i="3" s="1"/>
  <c r="N22" i="3" s="1"/>
  <c r="J19" i="3" l="1"/>
  <c r="I12" i="3"/>
  <c r="I19" i="3" s="1"/>
  <c r="O12" i="3"/>
  <c r="M19" i="3"/>
  <c r="K12" i="3" l="1"/>
  <c r="S12" i="3"/>
  <c r="T12" i="3" s="1"/>
  <c r="U12" i="3" s="1"/>
  <c r="U28" i="3" s="1"/>
</calcChain>
</file>

<file path=xl/sharedStrings.xml><?xml version="1.0" encoding="utf-8"?>
<sst xmlns="http://schemas.openxmlformats.org/spreadsheetml/2006/main" count="1019" uniqueCount="66">
  <si>
    <t>Rate Category</t>
  </si>
  <si>
    <t>Revenue Period</t>
  </si>
  <si>
    <t>Overall Result</t>
  </si>
  <si>
    <t xml:space="preserve"> CCF</t>
  </si>
  <si>
    <t xml:space="preserve"> GSC</t>
  </si>
  <si>
    <t>CC</t>
  </si>
  <si>
    <t>Group Company Code</t>
  </si>
  <si>
    <t>CCF</t>
  </si>
  <si>
    <t>$</t>
  </si>
  <si>
    <t>LG&amp;E</t>
  </si>
  <si>
    <t>LGCMG851</t>
  </si>
  <si>
    <t>Firm Commercial Gas Service</t>
  </si>
  <si>
    <t>LGCMG865</t>
  </si>
  <si>
    <t>As-Available Gas Service, Commercial</t>
  </si>
  <si>
    <t>LGCMG881</t>
  </si>
  <si>
    <t>Gas Transport Service, TS (CGS)</t>
  </si>
  <si>
    <t>LGING855</t>
  </si>
  <si>
    <t>Firm Industrial Gas Service</t>
  </si>
  <si>
    <t>LGING866</t>
  </si>
  <si>
    <t>As-Available Gas Service, Industrial</t>
  </si>
  <si>
    <t>LGING882</t>
  </si>
  <si>
    <t>Gas Transport Service, TS (IGS)</t>
  </si>
  <si>
    <t>LGING996</t>
  </si>
  <si>
    <t>Gas Special Contracts - LG&amp;E</t>
  </si>
  <si>
    <t>LGRSG811</t>
  </si>
  <si>
    <t>Residential Gas Service</t>
  </si>
  <si>
    <t>LGRSG811S1</t>
  </si>
  <si>
    <t>RGS Special Contract - Bullit Farm</t>
  </si>
  <si>
    <t>LGRSG840</t>
  </si>
  <si>
    <t>Volunteer Fire Department Gas</t>
  </si>
  <si>
    <t>LGUMG830</t>
  </si>
  <si>
    <t>Residential Gas Light</t>
  </si>
  <si>
    <t>LGUMG860</t>
  </si>
  <si>
    <t>Commercial Gas Light</t>
  </si>
  <si>
    <t>LGUMG861</t>
  </si>
  <si>
    <t>Insight Gas Generators</t>
  </si>
  <si>
    <t xml:space="preserve"> GSC $</t>
  </si>
  <si>
    <t>.5272</t>
  </si>
  <si>
    <t>LG&amp;E and KU Energy LLC</t>
  </si>
  <si>
    <t>Prior Adjustments</t>
  </si>
  <si>
    <t>.56143</t>
  </si>
  <si>
    <t>.5272 and Prior Adjustments</t>
  </si>
  <si>
    <t>MAY 2011</t>
  </si>
  <si>
    <t>APR 2011</t>
  </si>
  <si>
    <t>JUN 2011</t>
  </si>
  <si>
    <t>JUL 2011</t>
  </si>
  <si>
    <t>DEC 2011</t>
  </si>
  <si>
    <t>NOV 2011</t>
  </si>
  <si>
    <t>OCT 2011</t>
  </si>
  <si>
    <t>SEP 2011</t>
  </si>
  <si>
    <t>AUG 2011</t>
  </si>
  <si>
    <t>.5605</t>
  </si>
  <si>
    <t>MCF</t>
  </si>
  <si>
    <t>.51602</t>
  </si>
  <si>
    <t>RGS</t>
  </si>
  <si>
    <t>CGS</t>
  </si>
  <si>
    <t>IGS</t>
  </si>
  <si>
    <t>AAGS</t>
  </si>
  <si>
    <t>SpecCont</t>
  </si>
  <si>
    <t>JAN 2012</t>
  </si>
  <si>
    <t>FEB 2012</t>
  </si>
  <si>
    <t>.47423</t>
  </si>
  <si>
    <t>MAR 2012</t>
  </si>
  <si>
    <t>LGCMG875</t>
  </si>
  <si>
    <t>Distributed Generation Gas Service</t>
  </si>
  <si>
    <t>DGGS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</si>
</sst>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#,##0.00;@"/>
    <numFmt numFmtId="165" formatCode="#,##0;\-#,##0;#,##0;@"/>
    <numFmt numFmtId="166" formatCode="0.00000"/>
    <numFmt numFmtId="167" formatCode="#,##0.00000"/>
    <numFmt numFmtId="168" formatCode="_(* #,##0.000_);_(* \(#,##0.000\);_(* &quot;-&quot;??_);_(@_)"/>
    <numFmt numFmtId="169" formatCode="_(* #,##0_);_(* \(#,##0\);_(* &quot;-&quot;??_);_(@_)"/>
    <numFmt numFmtId="170" formatCode="_(* #,##0.0_);_(* \(#,##0.0\);_(* &quot;-&quot;??_);_(@_)"/>
    <numFmt numFmtId="171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Calibri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33CC"/>
      <name val="Arial"/>
      <family val="2"/>
    </font>
    <font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11" applyNumberFormat="0" applyAlignment="0" applyProtection="0"/>
    <xf numFmtId="0" fontId="16" fillId="31" borderId="12" applyNumberFormat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11" applyNumberFormat="0" applyAlignment="0" applyProtection="0"/>
    <xf numFmtId="0" fontId="23" fillId="0" borderId="16" applyNumberFormat="0" applyFill="0" applyAlignment="0" applyProtection="0"/>
    <xf numFmtId="0" fontId="24" fillId="34" borderId="0" applyNumberFormat="0" applyBorder="0" applyAlignment="0" applyProtection="0"/>
    <xf numFmtId="0" fontId="1" fillId="35" borderId="17" applyNumberFormat="0" applyFont="0" applyAlignment="0" applyProtection="0"/>
    <xf numFmtId="0" fontId="25" fillId="30" borderId="18" applyNumberFormat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wrapText="1"/>
    </xf>
    <xf numFmtId="49" fontId="0" fillId="3" borderId="1" xfId="0" applyNumberForma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44" fontId="3" fillId="4" borderId="1" xfId="0" applyNumberFormat="1" applyFont="1" applyFill="1" applyBorder="1" applyAlignment="1">
      <alignment horizontal="right" vertical="center" wrapText="1"/>
    </xf>
    <xf numFmtId="44" fontId="4" fillId="2" borderId="1" xfId="0" applyNumberFormat="1" applyFont="1" applyFill="1" applyBorder="1" applyAlignment="1">
      <alignment vertical="center" wrapText="1"/>
    </xf>
    <xf numFmtId="167" fontId="5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4" fontId="4" fillId="4" borderId="1" xfId="0" applyNumberFormat="1" applyFont="1" applyFill="1" applyBorder="1" applyAlignment="1">
      <alignment horizontal="right" vertical="center" wrapText="1"/>
    </xf>
    <xf numFmtId="44" fontId="4" fillId="4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49" fontId="4" fillId="3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right" vertical="center" wrapText="1"/>
    </xf>
    <xf numFmtId="44" fontId="9" fillId="0" borderId="0" xfId="0" applyNumberFormat="1" applyFont="1"/>
    <xf numFmtId="49" fontId="4" fillId="3" borderId="1" xfId="0" applyNumberFormat="1" applyFont="1" applyFill="1" applyBorder="1" applyAlignment="1">
      <alignment horizontal="left" vertical="center" wrapText="1"/>
    </xf>
    <xf numFmtId="166" fontId="11" fillId="0" borderId="0" xfId="0" applyNumberFormat="1" applyFont="1"/>
    <xf numFmtId="168" fontId="9" fillId="0" borderId="0" xfId="43" applyNumberFormat="1" applyFont="1"/>
    <xf numFmtId="169" fontId="4" fillId="2" borderId="1" xfId="43" applyNumberFormat="1" applyFont="1" applyFill="1" applyBorder="1" applyAlignment="1">
      <alignment horizontal="right" vertical="center" wrapText="1"/>
    </xf>
    <xf numFmtId="169" fontId="3" fillId="4" borderId="1" xfId="43" applyNumberFormat="1" applyFont="1" applyFill="1" applyBorder="1" applyAlignment="1">
      <alignment horizontal="right" vertical="center" wrapText="1"/>
    </xf>
    <xf numFmtId="43" fontId="29" fillId="2" borderId="1" xfId="43" applyFont="1" applyFill="1" applyBorder="1" applyAlignment="1" applyProtection="1">
      <alignment horizontal="right" vertical="center" wrapText="1"/>
      <protection locked="0"/>
    </xf>
    <xf numFmtId="44" fontId="29" fillId="2" borderId="1" xfId="28" applyFont="1" applyFill="1" applyBorder="1" applyAlignment="1" applyProtection="1">
      <alignment horizontal="right" vertical="center" wrapText="1"/>
      <protection locked="0"/>
    </xf>
    <xf numFmtId="165" fontId="29" fillId="2" borderId="1" xfId="0" applyNumberFormat="1" applyFont="1" applyFill="1" applyBorder="1" applyAlignment="1" applyProtection="1">
      <alignment horizontal="right" vertical="center" wrapText="1"/>
      <protection locked="0"/>
    </xf>
    <xf numFmtId="44" fontId="29" fillId="2" borderId="1" xfId="0" applyNumberFormat="1" applyFont="1" applyFill="1" applyBorder="1" applyAlignment="1" applyProtection="1">
      <alignment vertical="center" wrapText="1"/>
      <protection locked="0"/>
    </xf>
    <xf numFmtId="44" fontId="29" fillId="2" borderId="1" xfId="0" applyNumberFormat="1" applyFont="1" applyFill="1" applyBorder="1" applyAlignment="1" applyProtection="1">
      <alignment horizontal="right" vertical="center" wrapText="1"/>
      <protection locked="0"/>
    </xf>
    <xf numFmtId="43" fontId="29" fillId="0" borderId="1" xfId="43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right" vertical="center" wrapText="1"/>
    </xf>
    <xf numFmtId="170" fontId="30" fillId="0" borderId="0" xfId="43" applyNumberFormat="1" applyFont="1" applyAlignment="1">
      <alignment vertical="center"/>
    </xf>
    <xf numFmtId="169" fontId="29" fillId="2" borderId="1" xfId="43" applyNumberFormat="1" applyFont="1" applyFill="1" applyBorder="1" applyAlignment="1" applyProtection="1">
      <alignment horizontal="right" vertical="center" wrapText="1"/>
      <protection locked="0"/>
    </xf>
    <xf numFmtId="169" fontId="29" fillId="0" borderId="1" xfId="43" applyNumberFormat="1" applyFont="1" applyFill="1" applyBorder="1" applyAlignment="1" applyProtection="1">
      <alignment horizontal="right" vertical="center" wrapText="1"/>
      <protection locked="0"/>
    </xf>
    <xf numFmtId="44" fontId="29" fillId="0" borderId="1" xfId="28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/>
    <xf numFmtId="166" fontId="9" fillId="0" borderId="0" xfId="0" applyNumberFormat="1" applyFont="1"/>
    <xf numFmtId="0" fontId="10" fillId="0" borderId="0" xfId="0" applyFont="1"/>
    <xf numFmtId="44" fontId="10" fillId="0" borderId="0" xfId="0" applyNumberFormat="1" applyFont="1"/>
    <xf numFmtId="171" fontId="0" fillId="0" borderId="0" xfId="0" applyNumberFormat="1"/>
    <xf numFmtId="171" fontId="9" fillId="0" borderId="0" xfId="0" applyNumberFormat="1" applyFont="1"/>
    <xf numFmtId="44" fontId="10" fillId="0" borderId="20" xfId="0" applyNumberFormat="1" applyFont="1" applyBorder="1"/>
    <xf numFmtId="43" fontId="9" fillId="0" borderId="0" xfId="0" applyNumberFormat="1" applyFont="1"/>
    <xf numFmtId="49" fontId="3" fillId="4" borderId="2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left" vertical="center" wrapText="1"/>
    </xf>
    <xf numFmtId="49" fontId="0" fillId="3" borderId="6" xfId="0" applyNumberFormat="1" applyFill="1" applyBorder="1" applyAlignment="1">
      <alignment horizontal="left" vertical="center" wrapText="1"/>
    </xf>
    <xf numFmtId="49" fontId="0" fillId="3" borderId="7" xfId="0" applyNumberFormat="1" applyFill="1" applyBorder="1" applyAlignment="1">
      <alignment horizontal="left" vertical="center" wrapText="1"/>
    </xf>
    <xf numFmtId="49" fontId="0" fillId="3" borderId="8" xfId="0" applyNumberFormat="1" applyFill="1" applyBorder="1" applyAlignment="1">
      <alignment horizontal="left" vertical="center" wrapText="1"/>
    </xf>
    <xf numFmtId="49" fontId="0" fillId="3" borderId="9" xfId="0" applyNumberForma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49" fontId="2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0" xfId="0" applyNumberFormat="1" applyFont="1" applyFill="1" applyAlignment="1">
      <alignment wrapText="1"/>
    </xf>
    <xf numFmtId="168" fontId="29" fillId="3" borderId="2" xfId="43" applyNumberFormat="1" applyFont="1" applyFill="1" applyBorder="1" applyAlignment="1" applyProtection="1">
      <alignment horizontal="center" vertical="center" wrapText="1"/>
      <protection locked="0"/>
    </xf>
    <xf numFmtId="168" fontId="29" fillId="3" borderId="4" xfId="43" applyNumberFormat="1" applyFont="1" applyFill="1" applyBorder="1" applyAlignment="1" applyProtection="1">
      <alignment horizontal="center" vertical="center" wrapText="1"/>
      <protection locked="0"/>
    </xf>
    <xf numFmtId="49" fontId="9" fillId="3" borderId="5" xfId="0" applyNumberFormat="1" applyFont="1" applyFill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9" xfId="0" applyNumberFormat="1" applyFont="1" applyFill="1" applyBorder="1" applyAlignment="1">
      <alignment horizontal="left" vertical="center" wrapText="1"/>
    </xf>
    <xf numFmtId="49" fontId="9" fillId="3" borderId="10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168" fontId="4" fillId="3" borderId="2" xfId="43" applyNumberFormat="1" applyFont="1" applyFill="1" applyBorder="1" applyAlignment="1">
      <alignment horizontal="center" vertical="center" wrapText="1"/>
    </xf>
    <xf numFmtId="168" fontId="4" fillId="3" borderId="4" xfId="43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29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171" fontId="10" fillId="0" borderId="0" xfId="0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1"/>
  <sheetViews>
    <sheetView showGridLines="0" tabSelected="1" zoomScaleNormal="100" workbookViewId="0">
      <selection activeCell="A24" sqref="A24"/>
    </sheetView>
  </sheetViews>
  <sheetFormatPr defaultColWidth="9.140625" defaultRowHeight="15" x14ac:dyDescent="0.25"/>
  <cols>
    <col min="1" max="1" width="25" style="15" bestFit="1" customWidth="1"/>
    <col min="2" max="2" width="18.5703125" style="15" customWidth="1"/>
    <col min="3" max="3" width="11.7109375" style="15" bestFit="1" customWidth="1"/>
    <col min="4" max="4" width="28.140625" style="15" bestFit="1" customWidth="1"/>
    <col min="5" max="5" width="10.85546875" style="15" bestFit="1" customWidth="1"/>
    <col min="6" max="6" width="12.5703125" style="15" bestFit="1" customWidth="1"/>
    <col min="7" max="7" width="8.85546875" style="15" customWidth="1"/>
    <col min="8" max="8" width="2.7109375" style="15" customWidth="1"/>
    <col min="9" max="9" width="10.85546875" style="15" bestFit="1" customWidth="1"/>
    <col min="10" max="10" width="12.5703125" style="15" bestFit="1" customWidth="1"/>
    <col min="11" max="11" width="7.85546875" style="15" bestFit="1" customWidth="1"/>
    <col min="12" max="12" width="2.7109375" style="15" customWidth="1"/>
    <col min="13" max="13" width="10.85546875" style="15" bestFit="1" customWidth="1"/>
    <col min="14" max="14" width="15.28515625" style="15" bestFit="1" customWidth="1"/>
    <col min="15" max="15" width="14.5703125" style="15" bestFit="1" customWidth="1"/>
    <col min="16" max="16" width="8.5703125" style="15" bestFit="1" customWidth="1"/>
    <col min="17" max="17" width="13.42578125" style="15" bestFit="1" customWidth="1"/>
    <col min="18" max="18" width="9.28515625" style="15" bestFit="1" customWidth="1"/>
    <col min="19" max="19" width="10.7109375" style="15" bestFit="1" customWidth="1"/>
    <col min="20" max="20" width="10" style="15" bestFit="1" customWidth="1"/>
    <col min="21" max="21" width="9.85546875" style="15" bestFit="1" customWidth="1"/>
    <col min="22" max="16384" width="9.140625" style="15"/>
  </cols>
  <sheetData>
    <row r="1" spans="1:21" ht="15.75" x14ac:dyDescent="0.25">
      <c r="A1" s="57" t="s">
        <v>38</v>
      </c>
      <c r="B1" s="57"/>
      <c r="C1" s="57"/>
    </row>
    <row r="2" spans="1:21" ht="15.75" thickBot="1" x14ac:dyDescent="0.3">
      <c r="A2" s="16"/>
    </row>
    <row r="3" spans="1:21" ht="15.75" thickBot="1" x14ac:dyDescent="0.3">
      <c r="A3" s="60"/>
      <c r="B3" s="61"/>
      <c r="C3" s="62"/>
      <c r="D3" s="17" t="s">
        <v>1</v>
      </c>
      <c r="E3" s="18" t="s">
        <v>43</v>
      </c>
      <c r="F3" s="18" t="s">
        <v>43</v>
      </c>
      <c r="I3" s="18" t="s">
        <v>43</v>
      </c>
      <c r="J3" s="18" t="s">
        <v>43</v>
      </c>
      <c r="M3" s="18" t="s">
        <v>43</v>
      </c>
      <c r="N3" s="18" t="s">
        <v>43</v>
      </c>
    </row>
    <row r="4" spans="1:21" customFormat="1" ht="15.75" thickBot="1" x14ac:dyDescent="0.3">
      <c r="A4" s="63"/>
      <c r="B4" s="64"/>
      <c r="C4" s="65"/>
      <c r="D4" s="3"/>
      <c r="E4" s="18" t="s">
        <v>3</v>
      </c>
      <c r="F4" s="18" t="s">
        <v>4</v>
      </c>
      <c r="G4" s="15"/>
      <c r="H4" s="24"/>
      <c r="I4" s="69" t="s">
        <v>39</v>
      </c>
      <c r="J4" s="70"/>
      <c r="K4" s="24"/>
      <c r="L4" s="24"/>
      <c r="M4" s="58" t="s">
        <v>37</v>
      </c>
      <c r="N4" s="59"/>
    </row>
    <row r="5" spans="1:21" ht="15.75" thickBot="1" x14ac:dyDescent="0.3">
      <c r="A5" s="19" t="s">
        <v>5</v>
      </c>
      <c r="B5" s="19" t="s">
        <v>6</v>
      </c>
      <c r="C5" s="19" t="s">
        <v>0</v>
      </c>
      <c r="D5" s="20"/>
      <c r="E5" s="18" t="s">
        <v>7</v>
      </c>
      <c r="F5" s="18" t="s">
        <v>8</v>
      </c>
      <c r="G5" s="21"/>
      <c r="I5" s="18" t="s">
        <v>7</v>
      </c>
      <c r="J5" s="6" t="s">
        <v>36</v>
      </c>
      <c r="M5" s="18" t="s">
        <v>7</v>
      </c>
      <c r="N5" s="6" t="s">
        <v>36</v>
      </c>
    </row>
    <row r="6" spans="1:21" ht="15.75" thickBot="1" x14ac:dyDescent="0.3">
      <c r="A6" s="22" t="s">
        <v>9</v>
      </c>
      <c r="B6" s="22" t="s">
        <v>9</v>
      </c>
      <c r="C6" s="22" t="s">
        <v>10</v>
      </c>
      <c r="D6" s="22" t="s">
        <v>11</v>
      </c>
      <c r="E6" s="29">
        <v>8741474</v>
      </c>
      <c r="F6" s="30">
        <v>4608381.42</v>
      </c>
      <c r="G6" s="23">
        <f>F6/E6</f>
        <v>0.52718585218007852</v>
      </c>
      <c r="I6" s="8">
        <f>E6-M6</f>
        <v>119572</v>
      </c>
      <c r="J6" s="10">
        <f>F6-N6</f>
        <v>62476.160000000149</v>
      </c>
      <c r="K6" s="23">
        <f t="shared" ref="K6:K10" si="0">IFERROR(J6/I6,0)</f>
        <v>0.52249824373599296</v>
      </c>
      <c r="M6" s="29">
        <v>8621902</v>
      </c>
      <c r="N6" s="30">
        <v>4545905.26</v>
      </c>
      <c r="O6" s="23">
        <f t="shared" ref="O6:O11" si="1">IFERROR(N6/M6,0)</f>
        <v>0.52725086181680092</v>
      </c>
      <c r="P6" s="39">
        <f>+K6-O6</f>
        <v>-4.7526180808079577E-3</v>
      </c>
      <c r="Q6" s="45">
        <f t="shared" ref="Q6:Q17" si="2">+M6*$M$4</f>
        <v>4545466.7344000004</v>
      </c>
      <c r="R6" s="21">
        <f>+N6-Q6</f>
        <v>438.52559999935329</v>
      </c>
      <c r="S6" s="45">
        <f>+I6*$M$4</f>
        <v>63038.358399999997</v>
      </c>
      <c r="T6" s="21">
        <f>-S6+J6</f>
        <v>-562.19839999984833</v>
      </c>
      <c r="U6" s="21">
        <f>+R6+T6</f>
        <v>-123.67280000049504</v>
      </c>
    </row>
    <row r="7" spans="1:21" ht="15.75" thickBot="1" x14ac:dyDescent="0.3">
      <c r="A7" s="22" t="s">
        <v>9</v>
      </c>
      <c r="B7" s="22" t="s">
        <v>9</v>
      </c>
      <c r="C7" s="22" t="s">
        <v>12</v>
      </c>
      <c r="D7" s="22" t="s">
        <v>13</v>
      </c>
      <c r="E7" s="29">
        <v>100208</v>
      </c>
      <c r="F7" s="30">
        <v>52795.64</v>
      </c>
      <c r="G7" s="23">
        <f t="shared" ref="G7:G18" si="3">F7/E7</f>
        <v>0.52686053009739742</v>
      </c>
      <c r="I7" s="8">
        <f t="shared" ref="I7:J18" si="4">E7-M7</f>
        <v>-6557</v>
      </c>
      <c r="J7" s="10">
        <f t="shared" si="4"/>
        <v>-3490.8799999999974</v>
      </c>
      <c r="K7" s="23">
        <f t="shared" si="0"/>
        <v>0.53238981241421346</v>
      </c>
      <c r="M7" s="29">
        <v>106765</v>
      </c>
      <c r="N7" s="30">
        <v>56286.52</v>
      </c>
      <c r="O7" s="23">
        <f t="shared" si="1"/>
        <v>0.52720011239638453</v>
      </c>
      <c r="P7" s="39">
        <f t="shared" ref="P7:P13" si="5">+K7-O7</f>
        <v>5.1897000178289243E-3</v>
      </c>
      <c r="Q7" s="45">
        <f t="shared" si="2"/>
        <v>56286.508000000002</v>
      </c>
      <c r="R7" s="21">
        <f t="shared" ref="R7:R18" si="6">+N7-Q7</f>
        <v>1.1999999995168764E-2</v>
      </c>
      <c r="S7" s="45">
        <f t="shared" ref="S7:S18" si="7">+I7*$M$4</f>
        <v>-3456.8503999999998</v>
      </c>
      <c r="T7" s="21">
        <f t="shared" ref="T7:T18" si="8">-S7+J7</f>
        <v>-34.029599999997572</v>
      </c>
      <c r="U7" s="21">
        <f t="shared" ref="U7:U18" si="9">+R7+T7</f>
        <v>-34.017600000002403</v>
      </c>
    </row>
    <row r="8" spans="1:21" ht="15.75" thickBot="1" x14ac:dyDescent="0.3">
      <c r="A8" s="22" t="s">
        <v>9</v>
      </c>
      <c r="B8" s="22" t="s">
        <v>9</v>
      </c>
      <c r="C8" s="22" t="s">
        <v>14</v>
      </c>
      <c r="D8" s="22" t="s">
        <v>15</v>
      </c>
      <c r="E8" s="29">
        <v>6618</v>
      </c>
      <c r="F8" s="30">
        <v>3489.0099999999998</v>
      </c>
      <c r="G8" s="23">
        <f t="shared" si="3"/>
        <v>0.52720006044122092</v>
      </c>
      <c r="I8" s="8">
        <f t="shared" si="4"/>
        <v>0</v>
      </c>
      <c r="J8" s="10">
        <f t="shared" si="4"/>
        <v>0</v>
      </c>
      <c r="K8" s="23">
        <f t="shared" si="0"/>
        <v>0</v>
      </c>
      <c r="M8" s="29">
        <v>6618</v>
      </c>
      <c r="N8" s="30">
        <v>3489.0099999999998</v>
      </c>
      <c r="O8" s="23">
        <f t="shared" si="1"/>
        <v>0.52720006044122092</v>
      </c>
      <c r="P8" s="39"/>
      <c r="Q8" s="45">
        <f t="shared" si="2"/>
        <v>3489.0095999999999</v>
      </c>
      <c r="R8" s="21">
        <f t="shared" si="6"/>
        <v>3.9999999989959178E-4</v>
      </c>
      <c r="S8" s="45">
        <f t="shared" si="7"/>
        <v>0</v>
      </c>
      <c r="T8" s="21">
        <f t="shared" si="8"/>
        <v>0</v>
      </c>
      <c r="U8" s="21">
        <f t="shared" si="9"/>
        <v>3.9999999989959178E-4</v>
      </c>
    </row>
    <row r="9" spans="1:21" ht="15.75" thickBot="1" x14ac:dyDescent="0.3">
      <c r="A9" s="22" t="s">
        <v>9</v>
      </c>
      <c r="B9" s="22" t="s">
        <v>9</v>
      </c>
      <c r="C9" s="22" t="s">
        <v>16</v>
      </c>
      <c r="D9" s="22" t="s">
        <v>17</v>
      </c>
      <c r="E9" s="29">
        <v>700263</v>
      </c>
      <c r="F9" s="30">
        <v>369054.28</v>
      </c>
      <c r="G9" s="23">
        <f t="shared" si="3"/>
        <v>0.527022390159126</v>
      </c>
      <c r="I9" s="8">
        <f t="shared" si="4"/>
        <v>3367</v>
      </c>
      <c r="J9" s="10">
        <f t="shared" si="4"/>
        <v>1650.7200000000303</v>
      </c>
      <c r="K9" s="23">
        <f t="shared" si="0"/>
        <v>0.49026433026433924</v>
      </c>
      <c r="M9" s="29">
        <v>696896</v>
      </c>
      <c r="N9" s="30">
        <v>367403.56</v>
      </c>
      <c r="O9" s="23">
        <f t="shared" si="1"/>
        <v>0.52719998392873546</v>
      </c>
      <c r="P9" s="39">
        <f t="shared" si="5"/>
        <v>-3.6935653664396217E-2</v>
      </c>
      <c r="Q9" s="45">
        <f t="shared" si="2"/>
        <v>367403.57120000001</v>
      </c>
      <c r="R9" s="21">
        <f t="shared" si="6"/>
        <v>-1.1200000008102506E-2</v>
      </c>
      <c r="S9" s="45">
        <f t="shared" si="7"/>
        <v>1775.0824</v>
      </c>
      <c r="T9" s="21">
        <f t="shared" si="8"/>
        <v>-124.36239999996974</v>
      </c>
      <c r="U9" s="21">
        <f t="shared" si="9"/>
        <v>-124.37359999997784</v>
      </c>
    </row>
    <row r="10" spans="1:21" ht="15.75" thickBot="1" x14ac:dyDescent="0.3">
      <c r="A10" s="22" t="s">
        <v>9</v>
      </c>
      <c r="B10" s="22" t="s">
        <v>9</v>
      </c>
      <c r="C10" s="22" t="s">
        <v>18</v>
      </c>
      <c r="D10" s="22" t="s">
        <v>19</v>
      </c>
      <c r="E10" s="29">
        <v>172570</v>
      </c>
      <c r="F10" s="30">
        <v>90978.9</v>
      </c>
      <c r="G10" s="23">
        <f t="shared" si="3"/>
        <v>0.52719997682100017</v>
      </c>
      <c r="I10" s="8">
        <f t="shared" si="4"/>
        <v>0</v>
      </c>
      <c r="J10" s="10">
        <f t="shared" si="4"/>
        <v>0</v>
      </c>
      <c r="K10" s="23">
        <f t="shared" si="0"/>
        <v>0</v>
      </c>
      <c r="M10" s="29">
        <v>172570</v>
      </c>
      <c r="N10" s="30">
        <v>90978.9</v>
      </c>
      <c r="O10" s="23">
        <f t="shared" si="1"/>
        <v>0.52719997682100017</v>
      </c>
      <c r="P10" s="39">
        <f t="shared" si="5"/>
        <v>-0.52719997682100017</v>
      </c>
      <c r="Q10" s="45">
        <f t="shared" si="2"/>
        <v>90978.903999999995</v>
      </c>
      <c r="R10" s="21">
        <f t="shared" si="6"/>
        <v>-4.0000000008149073E-3</v>
      </c>
      <c r="S10" s="45">
        <f t="shared" si="7"/>
        <v>0</v>
      </c>
      <c r="T10" s="21">
        <f t="shared" si="8"/>
        <v>0</v>
      </c>
      <c r="U10" s="21">
        <f t="shared" si="9"/>
        <v>-4.0000000008149073E-3</v>
      </c>
    </row>
    <row r="11" spans="1:21" ht="15.75" thickBot="1" x14ac:dyDescent="0.3">
      <c r="A11" s="22" t="s">
        <v>9</v>
      </c>
      <c r="B11" s="22" t="s">
        <v>9</v>
      </c>
      <c r="C11" s="22" t="s">
        <v>20</v>
      </c>
      <c r="D11" s="22" t="s">
        <v>21</v>
      </c>
      <c r="E11" s="29">
        <v>1394</v>
      </c>
      <c r="F11" s="30">
        <v>734.92</v>
      </c>
      <c r="G11" s="23">
        <f t="shared" si="3"/>
        <v>0.52720229555236731</v>
      </c>
      <c r="I11" s="8">
        <f t="shared" si="4"/>
        <v>0</v>
      </c>
      <c r="J11" s="10">
        <f t="shared" si="4"/>
        <v>0</v>
      </c>
      <c r="K11" s="23">
        <f>IFERROR(J11/I11,0)</f>
        <v>0</v>
      </c>
      <c r="M11" s="29">
        <v>1394</v>
      </c>
      <c r="N11" s="30">
        <v>734.92</v>
      </c>
      <c r="O11" s="23">
        <f t="shared" si="1"/>
        <v>0.52720229555236731</v>
      </c>
      <c r="P11" s="39"/>
      <c r="Q11" s="45">
        <f t="shared" si="2"/>
        <v>734.91679999999997</v>
      </c>
      <c r="R11" s="21">
        <f t="shared" si="6"/>
        <v>3.1999999999925421E-3</v>
      </c>
      <c r="S11" s="45">
        <f t="shared" si="7"/>
        <v>0</v>
      </c>
      <c r="T11" s="21">
        <f t="shared" si="8"/>
        <v>0</v>
      </c>
      <c r="U11" s="21">
        <f t="shared" si="9"/>
        <v>3.1999999999925421E-3</v>
      </c>
    </row>
    <row r="12" spans="1:21" ht="15.75" thickBot="1" x14ac:dyDescent="0.3">
      <c r="A12" s="22" t="s">
        <v>9</v>
      </c>
      <c r="B12" s="22" t="s">
        <v>9</v>
      </c>
      <c r="C12" s="22" t="s">
        <v>22</v>
      </c>
      <c r="D12" s="22" t="s">
        <v>23</v>
      </c>
      <c r="E12" s="29">
        <v>940695</v>
      </c>
      <c r="F12" s="30">
        <v>495934.4</v>
      </c>
      <c r="G12" s="23">
        <f t="shared" si="3"/>
        <v>0.52719999574782472</v>
      </c>
      <c r="I12" s="8">
        <f t="shared" si="4"/>
        <v>0</v>
      </c>
      <c r="J12" s="10">
        <f t="shared" si="4"/>
        <v>0</v>
      </c>
      <c r="K12" s="23">
        <f t="shared" ref="K12:K18" si="10">IFERROR(J12/I12,0)</f>
        <v>0</v>
      </c>
      <c r="M12" s="29">
        <v>940695</v>
      </c>
      <c r="N12" s="30">
        <v>495934.4</v>
      </c>
      <c r="O12" s="23">
        <f>IFERROR(N12/M12,0)</f>
        <v>0.52719999574782472</v>
      </c>
      <c r="P12" s="39"/>
      <c r="Q12" s="45">
        <f t="shared" si="2"/>
        <v>495934.40399999998</v>
      </c>
      <c r="R12" s="21">
        <f t="shared" si="6"/>
        <v>-3.9999999571591616E-3</v>
      </c>
      <c r="S12" s="45">
        <f t="shared" si="7"/>
        <v>0</v>
      </c>
      <c r="T12" s="21">
        <f t="shared" si="8"/>
        <v>0</v>
      </c>
      <c r="U12" s="21">
        <f t="shared" si="9"/>
        <v>-3.9999999571591616E-3</v>
      </c>
    </row>
    <row r="13" spans="1:21" ht="15.75" thickBot="1" x14ac:dyDescent="0.3">
      <c r="A13" s="22" t="s">
        <v>9</v>
      </c>
      <c r="B13" s="22" t="s">
        <v>9</v>
      </c>
      <c r="C13" s="22" t="s">
        <v>24</v>
      </c>
      <c r="D13" s="22" t="s">
        <v>25</v>
      </c>
      <c r="E13" s="29">
        <v>17618287</v>
      </c>
      <c r="F13" s="30">
        <v>9289042.7100000009</v>
      </c>
      <c r="G13" s="23">
        <f t="shared" si="3"/>
        <v>0.52723869863171147</v>
      </c>
      <c r="I13" s="8">
        <f t="shared" si="4"/>
        <v>62321</v>
      </c>
      <c r="J13" s="10">
        <f t="shared" si="4"/>
        <v>33509.120000001043</v>
      </c>
      <c r="K13" s="23">
        <f t="shared" si="10"/>
        <v>0.53768585228094934</v>
      </c>
      <c r="M13" s="29">
        <v>17555966</v>
      </c>
      <c r="N13" s="30">
        <v>9255533.5899999999</v>
      </c>
      <c r="O13" s="23">
        <f t="shared" ref="O13:O18" si="11">IFERROR(N13/M13,0)</f>
        <v>0.52720161283064682</v>
      </c>
      <c r="P13" s="39">
        <f t="shared" si="5"/>
        <v>1.0484239450302524E-2</v>
      </c>
      <c r="Q13" s="45">
        <f t="shared" si="2"/>
        <v>9255505.2752</v>
      </c>
      <c r="R13" s="21">
        <f t="shared" si="6"/>
        <v>28.314799999818206</v>
      </c>
      <c r="S13" s="45">
        <f t="shared" si="7"/>
        <v>32855.631200000003</v>
      </c>
      <c r="T13" s="21">
        <f t="shared" si="8"/>
        <v>653.48880000103964</v>
      </c>
      <c r="U13" s="21">
        <f t="shared" si="9"/>
        <v>681.80360000085784</v>
      </c>
    </row>
    <row r="14" spans="1:21" ht="15.75" thickBot="1" x14ac:dyDescent="0.3">
      <c r="A14" s="22" t="s">
        <v>9</v>
      </c>
      <c r="B14" s="22" t="s">
        <v>9</v>
      </c>
      <c r="C14" s="22" t="s">
        <v>26</v>
      </c>
      <c r="D14" s="22" t="s">
        <v>27</v>
      </c>
      <c r="E14" s="29">
        <v>1479</v>
      </c>
      <c r="F14" s="30">
        <v>779.73</v>
      </c>
      <c r="G14" s="23">
        <f t="shared" si="3"/>
        <v>0.52720081135902641</v>
      </c>
      <c r="I14" s="8">
        <f t="shared" si="4"/>
        <v>0</v>
      </c>
      <c r="J14" s="10">
        <f t="shared" si="4"/>
        <v>0</v>
      </c>
      <c r="K14" s="23">
        <f t="shared" si="10"/>
        <v>0</v>
      </c>
      <c r="M14" s="29">
        <v>1479</v>
      </c>
      <c r="N14" s="30">
        <v>779.73</v>
      </c>
      <c r="O14" s="23">
        <f t="shared" si="11"/>
        <v>0.52720081135902641</v>
      </c>
      <c r="P14" s="39"/>
      <c r="Q14" s="45">
        <f t="shared" si="2"/>
        <v>779.72879999999998</v>
      </c>
      <c r="R14" s="21">
        <f t="shared" si="6"/>
        <v>1.2000000000398359E-3</v>
      </c>
      <c r="S14" s="45">
        <f t="shared" si="7"/>
        <v>0</v>
      </c>
      <c r="T14" s="21">
        <f t="shared" si="8"/>
        <v>0</v>
      </c>
      <c r="U14" s="21">
        <f t="shared" si="9"/>
        <v>1.2000000000398359E-3</v>
      </c>
    </row>
    <row r="15" spans="1:21" ht="15.75" thickBot="1" x14ac:dyDescent="0.3">
      <c r="A15" s="22" t="s">
        <v>9</v>
      </c>
      <c r="B15" s="22" t="s">
        <v>9</v>
      </c>
      <c r="C15" s="22" t="s">
        <v>28</v>
      </c>
      <c r="D15" s="22" t="s">
        <v>29</v>
      </c>
      <c r="E15" s="29">
        <v>1004</v>
      </c>
      <c r="F15" s="30">
        <v>529.29999999999995</v>
      </c>
      <c r="G15" s="23">
        <f t="shared" si="3"/>
        <v>0.52719123505976095</v>
      </c>
      <c r="I15" s="8">
        <f t="shared" si="4"/>
        <v>0</v>
      </c>
      <c r="J15" s="10">
        <f t="shared" si="4"/>
        <v>0</v>
      </c>
      <c r="K15" s="23">
        <f t="shared" si="10"/>
        <v>0</v>
      </c>
      <c r="M15" s="29">
        <v>1004</v>
      </c>
      <c r="N15" s="30">
        <v>529.29999999999995</v>
      </c>
      <c r="O15" s="23">
        <f t="shared" si="11"/>
        <v>0.52719123505976095</v>
      </c>
      <c r="P15" s="39"/>
      <c r="Q15" s="45">
        <f t="shared" si="2"/>
        <v>529.30880000000002</v>
      </c>
      <c r="R15" s="21">
        <f t="shared" si="6"/>
        <v>-8.800000000064756E-3</v>
      </c>
      <c r="S15" s="45">
        <f t="shared" si="7"/>
        <v>0</v>
      </c>
      <c r="T15" s="21">
        <f t="shared" si="8"/>
        <v>0</v>
      </c>
      <c r="U15" s="21">
        <f t="shared" si="9"/>
        <v>-8.800000000064756E-3</v>
      </c>
    </row>
    <row r="16" spans="1:21" ht="15.75" thickBot="1" x14ac:dyDescent="0.3">
      <c r="A16" s="22" t="s">
        <v>9</v>
      </c>
      <c r="B16" s="22" t="s">
        <v>9</v>
      </c>
      <c r="C16" s="22" t="s">
        <v>30</v>
      </c>
      <c r="D16" s="22" t="s">
        <v>31</v>
      </c>
      <c r="E16" s="29">
        <v>32</v>
      </c>
      <c r="F16" s="30">
        <v>16.87</v>
      </c>
      <c r="G16" s="23">
        <f t="shared" si="3"/>
        <v>0.52718750000000003</v>
      </c>
      <c r="I16" s="8">
        <f t="shared" si="4"/>
        <v>0</v>
      </c>
      <c r="J16" s="10">
        <f t="shared" si="4"/>
        <v>0</v>
      </c>
      <c r="K16" s="23">
        <f t="shared" si="10"/>
        <v>0</v>
      </c>
      <c r="M16" s="29">
        <v>32</v>
      </c>
      <c r="N16" s="30">
        <v>16.87</v>
      </c>
      <c r="O16" s="23">
        <f t="shared" si="11"/>
        <v>0.52718750000000003</v>
      </c>
      <c r="P16" s="39"/>
      <c r="Q16" s="45">
        <f t="shared" si="2"/>
        <v>16.8704</v>
      </c>
      <c r="R16" s="21">
        <f t="shared" si="6"/>
        <v>-3.9999999999906777E-4</v>
      </c>
      <c r="S16" s="45">
        <f t="shared" si="7"/>
        <v>0</v>
      </c>
      <c r="T16" s="21">
        <f t="shared" si="8"/>
        <v>0</v>
      </c>
      <c r="U16" s="21">
        <f t="shared" si="9"/>
        <v>-3.9999999999906777E-4</v>
      </c>
    </row>
    <row r="17" spans="1:21" ht="15.75" thickBot="1" x14ac:dyDescent="0.3">
      <c r="A17" s="22" t="s">
        <v>9</v>
      </c>
      <c r="B17" s="22" t="s">
        <v>9</v>
      </c>
      <c r="C17" s="22" t="s">
        <v>32</v>
      </c>
      <c r="D17" s="22" t="s">
        <v>33</v>
      </c>
      <c r="E17" s="29">
        <v>358</v>
      </c>
      <c r="F17" s="30">
        <v>188.74</v>
      </c>
      <c r="G17" s="23">
        <f t="shared" si="3"/>
        <v>0.52720670391061453</v>
      </c>
      <c r="I17" s="8">
        <f t="shared" si="4"/>
        <v>0</v>
      </c>
      <c r="J17" s="10">
        <f t="shared" si="4"/>
        <v>0</v>
      </c>
      <c r="K17" s="23">
        <f t="shared" si="10"/>
        <v>0</v>
      </c>
      <c r="M17" s="29">
        <v>358</v>
      </c>
      <c r="N17" s="30">
        <v>188.74</v>
      </c>
      <c r="O17" s="23">
        <f t="shared" si="11"/>
        <v>0.52720670391061453</v>
      </c>
      <c r="P17" s="39"/>
      <c r="Q17" s="45">
        <f t="shared" si="2"/>
        <v>188.73760000000001</v>
      </c>
      <c r="R17" s="21">
        <f t="shared" si="6"/>
        <v>2.3999999999944066E-3</v>
      </c>
      <c r="S17" s="45">
        <f t="shared" si="7"/>
        <v>0</v>
      </c>
      <c r="T17" s="21">
        <f t="shared" si="8"/>
        <v>0</v>
      </c>
      <c r="U17" s="21">
        <f t="shared" si="9"/>
        <v>2.3999999999944066E-3</v>
      </c>
    </row>
    <row r="18" spans="1:21" ht="15.75" thickBot="1" x14ac:dyDescent="0.3">
      <c r="A18" s="22" t="s">
        <v>9</v>
      </c>
      <c r="B18" s="22" t="s">
        <v>9</v>
      </c>
      <c r="C18" s="22" t="s">
        <v>34</v>
      </c>
      <c r="D18" s="22" t="s">
        <v>35</v>
      </c>
      <c r="E18" s="29">
        <v>610</v>
      </c>
      <c r="F18" s="30">
        <v>323.20999999999998</v>
      </c>
      <c r="G18" s="23">
        <f t="shared" si="3"/>
        <v>0.52985245901639344</v>
      </c>
      <c r="I18" s="8">
        <f t="shared" si="4"/>
        <v>0</v>
      </c>
      <c r="J18" s="10">
        <f t="shared" si="4"/>
        <v>0</v>
      </c>
      <c r="K18" s="23">
        <f t="shared" si="10"/>
        <v>0</v>
      </c>
      <c r="M18" s="29">
        <v>610</v>
      </c>
      <c r="N18" s="30">
        <v>323.20999999999998</v>
      </c>
      <c r="O18" s="23">
        <f t="shared" si="11"/>
        <v>0.52985245901639344</v>
      </c>
      <c r="P18" s="39"/>
      <c r="Q18" s="45">
        <f>+M18*$M$4</f>
        <v>321.59199999999998</v>
      </c>
      <c r="R18" s="21">
        <f t="shared" si="6"/>
        <v>1.617999999999995</v>
      </c>
      <c r="S18" s="45">
        <f t="shared" si="7"/>
        <v>0</v>
      </c>
      <c r="T18" s="21">
        <f t="shared" si="8"/>
        <v>0</v>
      </c>
      <c r="U18" s="21">
        <f t="shared" si="9"/>
        <v>1.617999999999995</v>
      </c>
    </row>
    <row r="19" spans="1:21" ht="15.75" thickBot="1" x14ac:dyDescent="0.3">
      <c r="A19" s="66" t="s">
        <v>2</v>
      </c>
      <c r="B19" s="67"/>
      <c r="C19" s="67"/>
      <c r="D19" s="68"/>
      <c r="E19" s="13">
        <f>SUM(E6:E18)</f>
        <v>28284992</v>
      </c>
      <c r="F19" s="14">
        <f>SUM(F6:F18)</f>
        <v>14912249.130000003</v>
      </c>
      <c r="I19" s="13">
        <f>SUM(I6:I18)</f>
        <v>178703</v>
      </c>
      <c r="J19" s="14">
        <f>SUM(J6:J18)</f>
        <v>94145.120000001218</v>
      </c>
      <c r="M19" s="13">
        <f>SUM(M6:M18)</f>
        <v>28106289</v>
      </c>
      <c r="N19" s="14">
        <f>SUM(N6:N18)</f>
        <v>14818104.010000002</v>
      </c>
      <c r="R19" s="21">
        <f>SUM(R6:R18)</f>
        <v>468.4491999992004</v>
      </c>
    </row>
    <row r="20" spans="1:21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21" x14ac:dyDescent="0.25">
      <c r="G21" s="40"/>
      <c r="H21" s="40"/>
      <c r="I21" s="40"/>
      <c r="J21" s="40"/>
      <c r="K21" s="40"/>
      <c r="L21" s="40"/>
      <c r="M21" s="40"/>
      <c r="N21" s="41">
        <f>+N19+K19</f>
        <v>14818104.010000002</v>
      </c>
      <c r="O21" s="40"/>
      <c r="P21" s="40"/>
      <c r="Q21" s="40"/>
      <c r="R21" s="40"/>
    </row>
    <row r="22" spans="1:21" x14ac:dyDescent="0.25">
      <c r="G22" s="40"/>
      <c r="H22" s="40"/>
      <c r="I22" s="40"/>
      <c r="J22" s="40"/>
      <c r="K22" s="40"/>
      <c r="L22" s="40"/>
      <c r="M22" s="40"/>
      <c r="N22" s="41">
        <f>+H19-N21</f>
        <v>-14818104.010000002</v>
      </c>
      <c r="O22" s="40"/>
      <c r="P22" s="40"/>
      <c r="Q22" s="40"/>
      <c r="R22" s="40"/>
    </row>
    <row r="23" spans="1:21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21" x14ac:dyDescent="0.25">
      <c r="G24" s="40" t="s">
        <v>54</v>
      </c>
      <c r="H24" s="40"/>
      <c r="I24" s="40"/>
      <c r="J24" s="41">
        <f>+J13+J14+J15+J16</f>
        <v>33509.120000001043</v>
      </c>
      <c r="K24" s="40"/>
      <c r="L24" s="40"/>
      <c r="M24" s="40"/>
      <c r="N24" s="41">
        <f>+N13+N14+N15+N16</f>
        <v>9256859.4900000002</v>
      </c>
      <c r="O24" s="41">
        <f>+N24+J24</f>
        <v>9290368.6100000013</v>
      </c>
      <c r="P24" s="40"/>
      <c r="Q24" s="40" t="s">
        <v>54</v>
      </c>
      <c r="R24" s="41">
        <f>+R13+R14+R15+R16</f>
        <v>28.306799999818182</v>
      </c>
      <c r="U24" s="41">
        <f>+U13+U14+U15+U16</f>
        <v>681.7956000008578</v>
      </c>
    </row>
    <row r="25" spans="1:21" x14ac:dyDescent="0.25">
      <c r="G25" s="40" t="s">
        <v>55</v>
      </c>
      <c r="H25" s="40"/>
      <c r="I25" s="40"/>
      <c r="J25" s="41">
        <f>+J6+J17+J18+J8</f>
        <v>62476.160000000149</v>
      </c>
      <c r="K25" s="40"/>
      <c r="L25" s="40"/>
      <c r="M25" s="40"/>
      <c r="N25" s="41">
        <f>+N6+N17+N18+N8</f>
        <v>4549906.22</v>
      </c>
      <c r="O25" s="41">
        <f t="shared" ref="O25:O28" si="12">+N25+J25</f>
        <v>4612382.38</v>
      </c>
      <c r="P25" s="40"/>
      <c r="Q25" s="40" t="s">
        <v>55</v>
      </c>
      <c r="R25" s="41">
        <f>+R6+R17+R18+R8</f>
        <v>440.14639999935315</v>
      </c>
      <c r="U25" s="41">
        <f>+U6+U17+U18+U8</f>
        <v>-122.05200000049516</v>
      </c>
    </row>
    <row r="26" spans="1:21" x14ac:dyDescent="0.25">
      <c r="G26" s="40" t="s">
        <v>56</v>
      </c>
      <c r="H26" s="40"/>
      <c r="I26" s="40"/>
      <c r="J26" s="41">
        <f>+J9+J11</f>
        <v>1650.7200000000303</v>
      </c>
      <c r="K26" s="40"/>
      <c r="L26" s="40"/>
      <c r="M26" s="40"/>
      <c r="N26" s="41">
        <f>+N9+N11</f>
        <v>368138.48</v>
      </c>
      <c r="O26" s="41">
        <f t="shared" si="12"/>
        <v>369789.2</v>
      </c>
      <c r="P26" s="40"/>
      <c r="Q26" s="40" t="s">
        <v>56</v>
      </c>
      <c r="R26" s="41">
        <f>+R9+R11</f>
        <v>-8.0000000081099643E-3</v>
      </c>
      <c r="U26" s="41">
        <f>+U9+U11</f>
        <v>-124.37039999997785</v>
      </c>
    </row>
    <row r="27" spans="1:21" x14ac:dyDescent="0.25">
      <c r="G27" s="40" t="s">
        <v>57</v>
      </c>
      <c r="H27" s="40"/>
      <c r="I27" s="40"/>
      <c r="J27" s="41">
        <f>+J7+J10</f>
        <v>-3490.8799999999974</v>
      </c>
      <c r="K27" s="40"/>
      <c r="L27" s="40"/>
      <c r="M27" s="40"/>
      <c r="N27" s="41">
        <f>+N7+N10</f>
        <v>147265.41999999998</v>
      </c>
      <c r="O27" s="41">
        <f t="shared" si="12"/>
        <v>143774.53999999998</v>
      </c>
      <c r="P27" s="40"/>
      <c r="Q27" s="40" t="s">
        <v>57</v>
      </c>
      <c r="R27" s="41">
        <f>+R7+R10</f>
        <v>7.9999999943538569E-3</v>
      </c>
      <c r="U27" s="41">
        <f>+U7+U10</f>
        <v>-34.021600000003218</v>
      </c>
    </row>
    <row r="28" spans="1:21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495934.4</v>
      </c>
      <c r="O28" s="41">
        <f t="shared" si="12"/>
        <v>495934.4</v>
      </c>
      <c r="P28" s="40"/>
      <c r="Q28" s="40" t="s">
        <v>58</v>
      </c>
      <c r="R28" s="41">
        <f>+R12</f>
        <v>-3.9999999571591616E-3</v>
      </c>
      <c r="U28" s="41">
        <f>+U12</f>
        <v>-3.9999999571591616E-3</v>
      </c>
    </row>
    <row r="29" spans="1:21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14912249.130000001</v>
      </c>
      <c r="P29" s="41">
        <f>+O29-F19</f>
        <v>0</v>
      </c>
      <c r="Q29" s="40"/>
      <c r="R29" s="40"/>
    </row>
    <row r="30" spans="1:21" x14ac:dyDescent="0.25"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0"/>
    </row>
    <row r="31" spans="1:21" x14ac:dyDescent="0.25">
      <c r="O31" s="21"/>
    </row>
  </sheetData>
  <mergeCells count="5">
    <mergeCell ref="M4:N4"/>
    <mergeCell ref="A19:D19"/>
    <mergeCell ref="A1:C1"/>
    <mergeCell ref="A3:C4"/>
    <mergeCell ref="I4:J4"/>
  </mergeCells>
  <pageMargins left="0.75" right="0.75" top="1" bottom="1" header="0.5" footer="0.5"/>
  <pageSetup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showGridLines="0" zoomScaleNormal="100" workbookViewId="0">
      <selection activeCell="A2" sqref="A2:XFD29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2.5703125" bestFit="1" customWidth="1"/>
    <col min="8" max="8" width="2.5703125" customWidth="1"/>
    <col min="9" max="9" width="9.42578125" bestFit="1" customWidth="1"/>
    <col min="10" max="10" width="12.5703125" bestFit="1" customWidth="1"/>
    <col min="11" max="11" width="8.140625" style="15" bestFit="1" customWidth="1"/>
    <col min="12" max="12" width="2.7109375" customWidth="1"/>
    <col min="14" max="14" width="15.85546875" bestFit="1" customWidth="1"/>
    <col min="15" max="15" width="15.85546875" style="15" bestFit="1" customWidth="1"/>
    <col min="17" max="17" width="15.140625" bestFit="1" customWidth="1"/>
    <col min="18" max="18" width="8.5703125" bestFit="1" customWidth="1"/>
    <col min="19" max="19" width="11.28515625" bestFit="1" customWidth="1"/>
    <col min="20" max="21" width="9.5703125" bestFit="1" customWidth="1"/>
    <col min="22" max="22" width="4" customWidth="1"/>
    <col min="23" max="23" width="16.28515625" bestFit="1" customWidth="1"/>
  </cols>
  <sheetData>
    <row r="1" spans="1:23" ht="15.75" x14ac:dyDescent="0.25">
      <c r="A1" s="57" t="s">
        <v>38</v>
      </c>
      <c r="B1" s="57"/>
      <c r="C1" s="57"/>
    </row>
    <row r="2" spans="1:23" ht="15.75" thickBot="1" x14ac:dyDescent="0.3">
      <c r="A2" s="1"/>
    </row>
    <row r="3" spans="1:23" ht="15.75" thickBot="1" x14ac:dyDescent="0.3">
      <c r="A3" s="49"/>
      <c r="B3" s="50"/>
      <c r="C3" s="51"/>
      <c r="D3" s="3" t="s">
        <v>1</v>
      </c>
      <c r="E3" s="6" t="s">
        <v>59</v>
      </c>
      <c r="F3" s="6" t="s">
        <v>59</v>
      </c>
      <c r="I3" s="6" t="s">
        <v>59</v>
      </c>
      <c r="J3" s="6" t="s">
        <v>59</v>
      </c>
      <c r="M3" s="6" t="s">
        <v>59</v>
      </c>
      <c r="N3" s="6" t="s">
        <v>59</v>
      </c>
    </row>
    <row r="4" spans="1:23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39</v>
      </c>
      <c r="J4" s="72"/>
      <c r="K4" s="24"/>
      <c r="M4" s="55" t="s">
        <v>53</v>
      </c>
      <c r="N4" s="56"/>
      <c r="O4" s="24"/>
    </row>
    <row r="5" spans="1:23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3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16233214</v>
      </c>
      <c r="F6" s="28">
        <v>8376631.1200000001</v>
      </c>
      <c r="G6" s="11">
        <f>+F6/E6</f>
        <v>0.51601803068696073</v>
      </c>
      <c r="H6" s="11"/>
      <c r="I6" s="25">
        <f>E6-M6</f>
        <v>-1277</v>
      </c>
      <c r="J6" s="10">
        <f>F6-N6</f>
        <v>-726.87000000011176</v>
      </c>
      <c r="K6" s="23">
        <f t="shared" ref="K6:K10" si="0">IFERROR(J6/I6,0)</f>
        <v>0.56920125293665758</v>
      </c>
      <c r="M6" s="29">
        <v>16234491</v>
      </c>
      <c r="N6" s="31">
        <v>8377357.9900000002</v>
      </c>
      <c r="O6" s="23">
        <f t="shared" ref="O6:O10" si="1">IFERROR(N6/M6,0)</f>
        <v>0.51602221406263982</v>
      </c>
      <c r="P6" s="39">
        <f>+K6-O6</f>
        <v>5.3179038874017759E-2</v>
      </c>
      <c r="Q6" s="45">
        <f t="shared" ref="Q6:Q17" si="2">+M6*$M$4</f>
        <v>8377322.0458200006</v>
      </c>
      <c r="R6" s="21">
        <f>+N6-Q6</f>
        <v>35.944179999642074</v>
      </c>
      <c r="S6" s="45">
        <f>+I6*$M$4</f>
        <v>-658.95753999999999</v>
      </c>
      <c r="T6" s="21">
        <f>-S6+J6</f>
        <v>-67.912460000111764</v>
      </c>
      <c r="U6" s="21">
        <f>+R6+T6</f>
        <v>-31.96828000046969</v>
      </c>
      <c r="W6" s="21"/>
    </row>
    <row r="7" spans="1:23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103916</v>
      </c>
      <c r="F7" s="28">
        <v>53622.74</v>
      </c>
      <c r="G7" s="11">
        <f t="shared" ref="G7:G18" si="3">+F7/E7</f>
        <v>0.51602005465953271</v>
      </c>
      <c r="H7" s="11"/>
      <c r="I7" s="25">
        <f t="shared" ref="I7:J18" si="4">E7-M7</f>
        <v>0</v>
      </c>
      <c r="J7" s="10">
        <f t="shared" si="4"/>
        <v>0</v>
      </c>
      <c r="K7" s="23">
        <f t="shared" si="0"/>
        <v>0</v>
      </c>
      <c r="M7" s="29">
        <v>103916</v>
      </c>
      <c r="N7" s="31">
        <v>53622.74</v>
      </c>
      <c r="O7" s="23">
        <f t="shared" si="1"/>
        <v>0.51602005465953271</v>
      </c>
      <c r="P7" s="39">
        <f t="shared" ref="P7:P13" si="5">+K7-O7</f>
        <v>-0.51602005465953271</v>
      </c>
      <c r="Q7" s="45">
        <f t="shared" si="2"/>
        <v>53622.734320000003</v>
      </c>
      <c r="R7" s="21">
        <f t="shared" ref="R7:R18" si="6">+N7-Q7</f>
        <v>5.6799999947543256E-3</v>
      </c>
      <c r="S7" s="45">
        <f t="shared" ref="S7:S18" si="7">+I7*$M$4</f>
        <v>0</v>
      </c>
      <c r="T7" s="21">
        <f t="shared" ref="T7:T18" si="8">-S7+J7</f>
        <v>0</v>
      </c>
      <c r="U7" s="21">
        <f t="shared" ref="U7:U18" si="9">+R7+T7</f>
        <v>5.6799999947543256E-3</v>
      </c>
      <c r="W7" s="21"/>
    </row>
    <row r="8" spans="1:23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29">
        <v>0</v>
      </c>
      <c r="F8" s="28">
        <v>0</v>
      </c>
      <c r="G8" s="11">
        <f>+IFERROR(F8/E8,0)</f>
        <v>0</v>
      </c>
      <c r="H8" s="12"/>
      <c r="I8" s="25">
        <f t="shared" si="4"/>
        <v>0</v>
      </c>
      <c r="J8" s="10">
        <f t="shared" si="4"/>
        <v>0</v>
      </c>
      <c r="K8" s="23">
        <f t="shared" si="0"/>
        <v>0</v>
      </c>
      <c r="M8" s="29"/>
      <c r="N8" s="31"/>
      <c r="O8" s="23">
        <f t="shared" si="1"/>
        <v>0</v>
      </c>
      <c r="P8" s="39"/>
      <c r="Q8" s="45">
        <f t="shared" si="2"/>
        <v>0</v>
      </c>
      <c r="R8" s="21">
        <f t="shared" si="6"/>
        <v>0</v>
      </c>
      <c r="S8" s="45">
        <f t="shared" si="7"/>
        <v>0</v>
      </c>
      <c r="T8" s="21">
        <f t="shared" si="8"/>
        <v>0</v>
      </c>
      <c r="U8" s="21">
        <f t="shared" si="9"/>
        <v>0</v>
      </c>
      <c r="W8" s="21"/>
    </row>
    <row r="9" spans="1:23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1108923</v>
      </c>
      <c r="F9" s="28">
        <v>572226.42000000004</v>
      </c>
      <c r="G9" s="11">
        <f t="shared" si="3"/>
        <v>0.51601997613901063</v>
      </c>
      <c r="H9" s="11"/>
      <c r="I9" s="25">
        <f t="shared" si="4"/>
        <v>0</v>
      </c>
      <c r="J9" s="10">
        <f t="shared" si="4"/>
        <v>0</v>
      </c>
      <c r="K9" s="23">
        <f t="shared" si="0"/>
        <v>0</v>
      </c>
      <c r="M9" s="29">
        <v>1108923</v>
      </c>
      <c r="N9" s="31">
        <v>572226.42000000004</v>
      </c>
      <c r="O9" s="23">
        <f t="shared" si="1"/>
        <v>0.51601997613901063</v>
      </c>
      <c r="P9" s="39">
        <f t="shared" si="5"/>
        <v>-0.51601997613901063</v>
      </c>
      <c r="Q9" s="45">
        <f t="shared" si="2"/>
        <v>572226.44646000001</v>
      </c>
      <c r="R9" s="21">
        <f t="shared" si="6"/>
        <v>-2.6459999964572489E-2</v>
      </c>
      <c r="S9" s="45">
        <f t="shared" si="7"/>
        <v>0</v>
      </c>
      <c r="T9" s="21">
        <f t="shared" si="8"/>
        <v>0</v>
      </c>
      <c r="U9" s="21">
        <f t="shared" si="9"/>
        <v>-2.6459999964572489E-2</v>
      </c>
      <c r="W9" s="21"/>
    </row>
    <row r="10" spans="1:23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187353</v>
      </c>
      <c r="F10" s="28">
        <v>96677.9</v>
      </c>
      <c r="G10" s="11">
        <f t="shared" si="3"/>
        <v>0.51602002636733868</v>
      </c>
      <c r="H10" s="11"/>
      <c r="I10" s="25">
        <f t="shared" si="4"/>
        <v>0</v>
      </c>
      <c r="J10" s="10">
        <f t="shared" si="4"/>
        <v>0</v>
      </c>
      <c r="K10" s="23">
        <f t="shared" si="0"/>
        <v>0</v>
      </c>
      <c r="M10" s="29">
        <v>187353</v>
      </c>
      <c r="N10" s="31">
        <v>96677.9</v>
      </c>
      <c r="O10" s="23">
        <f t="shared" si="1"/>
        <v>0.51602002636733868</v>
      </c>
      <c r="P10" s="39">
        <f t="shared" si="5"/>
        <v>-0.51602002636733868</v>
      </c>
      <c r="Q10" s="45">
        <f t="shared" si="2"/>
        <v>96677.89506000001</v>
      </c>
      <c r="R10" s="21">
        <f t="shared" si="6"/>
        <v>4.9399999843444675E-3</v>
      </c>
      <c r="S10" s="45">
        <f t="shared" si="7"/>
        <v>0</v>
      </c>
      <c r="T10" s="21">
        <f t="shared" si="8"/>
        <v>0</v>
      </c>
      <c r="U10" s="21">
        <f t="shared" si="9"/>
        <v>4.9399999843444675E-3</v>
      </c>
      <c r="W10" s="21"/>
    </row>
    <row r="11" spans="1:23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5163</v>
      </c>
      <c r="F11" s="28">
        <v>2664.21</v>
      </c>
      <c r="G11" s="11">
        <f>+IFERROR(F11/E11,0)</f>
        <v>0.5160197559558396</v>
      </c>
      <c r="H11" s="12"/>
      <c r="I11" s="25">
        <f t="shared" si="4"/>
        <v>0</v>
      </c>
      <c r="J11" s="10">
        <f t="shared" si="4"/>
        <v>0</v>
      </c>
      <c r="K11" s="23">
        <f>IFERROR(J11/I11,0)</f>
        <v>0</v>
      </c>
      <c r="M11" s="29">
        <v>5163</v>
      </c>
      <c r="N11" s="28">
        <v>2664.21</v>
      </c>
      <c r="O11" s="23">
        <f>IFERROR(N11/M11,0)</f>
        <v>0.5160197559558396</v>
      </c>
      <c r="P11" s="39"/>
      <c r="Q11" s="45">
        <f t="shared" si="2"/>
        <v>2664.21126</v>
      </c>
      <c r="R11" s="21">
        <f t="shared" si="6"/>
        <v>-1.2600000000020373E-3</v>
      </c>
      <c r="S11" s="45">
        <f t="shared" si="7"/>
        <v>0</v>
      </c>
      <c r="T11" s="21">
        <f t="shared" si="8"/>
        <v>0</v>
      </c>
      <c r="U11" s="21">
        <f t="shared" si="9"/>
        <v>-1.2600000000020373E-3</v>
      </c>
      <c r="W11" s="21"/>
    </row>
    <row r="12" spans="1:23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36">
        <v>390284</v>
      </c>
      <c r="F12" s="37">
        <v>201394.35</v>
      </c>
      <c r="G12" s="11">
        <f t="shared" si="3"/>
        <v>0.51602000081991573</v>
      </c>
      <c r="H12" s="11"/>
      <c r="I12" s="25">
        <f t="shared" si="4"/>
        <v>0</v>
      </c>
      <c r="J12" s="10">
        <f t="shared" si="4"/>
        <v>0</v>
      </c>
      <c r="K12" s="23">
        <f t="shared" ref="K12:K18" si="10">IFERROR(J12/I12,0)</f>
        <v>0</v>
      </c>
      <c r="M12" s="29">
        <v>390284</v>
      </c>
      <c r="N12" s="31">
        <v>201394.35</v>
      </c>
      <c r="O12" s="23">
        <f t="shared" ref="O12:O18" si="11">IFERROR(N12/M12,0)</f>
        <v>0.51602000081991573</v>
      </c>
      <c r="P12" s="39"/>
      <c r="Q12" s="45">
        <f t="shared" si="2"/>
        <v>201394.34968000001</v>
      </c>
      <c r="R12" s="21">
        <f t="shared" si="6"/>
        <v>3.1999999191612005E-4</v>
      </c>
      <c r="S12" s="45">
        <f t="shared" si="7"/>
        <v>0</v>
      </c>
      <c r="T12" s="21">
        <f t="shared" si="8"/>
        <v>0</v>
      </c>
      <c r="U12" s="21">
        <f t="shared" si="9"/>
        <v>3.1999999191612005E-4</v>
      </c>
      <c r="W12" s="21"/>
    </row>
    <row r="13" spans="1:23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34461276</v>
      </c>
      <c r="F13" s="28">
        <v>17783561.850000001</v>
      </c>
      <c r="G13" s="11">
        <f t="shared" si="3"/>
        <v>0.51604478748842619</v>
      </c>
      <c r="H13" s="11"/>
      <c r="I13" s="25">
        <f t="shared" si="4"/>
        <v>34750</v>
      </c>
      <c r="J13" s="10">
        <f t="shared" si="4"/>
        <v>18741.900000002235</v>
      </c>
      <c r="K13" s="23">
        <f t="shared" si="10"/>
        <v>0.53933525179862551</v>
      </c>
      <c r="M13" s="29">
        <v>34426526</v>
      </c>
      <c r="N13" s="31">
        <v>17764819.949999999</v>
      </c>
      <c r="O13" s="23">
        <f t="shared" si="11"/>
        <v>0.51602127818531562</v>
      </c>
      <c r="P13" s="39">
        <f t="shared" si="5"/>
        <v>2.3313973613309891E-2</v>
      </c>
      <c r="Q13" s="45">
        <f t="shared" si="2"/>
        <v>17764775.946520001</v>
      </c>
      <c r="R13" s="21">
        <f t="shared" si="6"/>
        <v>44.00347999855876</v>
      </c>
      <c r="S13" s="45">
        <f t="shared" si="7"/>
        <v>17931.695</v>
      </c>
      <c r="T13" s="21">
        <f t="shared" si="8"/>
        <v>810.20500000223547</v>
      </c>
      <c r="U13" s="21">
        <f t="shared" si="9"/>
        <v>854.20848000079422</v>
      </c>
      <c r="W13" s="21"/>
    </row>
    <row r="14" spans="1:23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36">
        <v>3504</v>
      </c>
      <c r="F14" s="37">
        <v>1808.13</v>
      </c>
      <c r="G14" s="11">
        <f t="shared" si="3"/>
        <v>0.51601883561643835</v>
      </c>
      <c r="H14" s="11"/>
      <c r="I14" s="25">
        <f t="shared" si="4"/>
        <v>0</v>
      </c>
      <c r="J14" s="10">
        <f t="shared" si="4"/>
        <v>0</v>
      </c>
      <c r="K14" s="23">
        <f t="shared" si="10"/>
        <v>0</v>
      </c>
      <c r="M14" s="29">
        <v>3504</v>
      </c>
      <c r="N14" s="31">
        <v>1808.13</v>
      </c>
      <c r="O14" s="23">
        <f t="shared" si="11"/>
        <v>0.51601883561643835</v>
      </c>
      <c r="P14" s="39"/>
      <c r="Q14" s="45">
        <f t="shared" si="2"/>
        <v>1808.13408</v>
      </c>
      <c r="R14" s="21">
        <f t="shared" si="6"/>
        <v>-4.0799999999308056E-3</v>
      </c>
      <c r="S14" s="45">
        <f t="shared" si="7"/>
        <v>0</v>
      </c>
      <c r="T14" s="21">
        <f t="shared" si="8"/>
        <v>0</v>
      </c>
      <c r="U14" s="21">
        <f t="shared" si="9"/>
        <v>-4.0799999999308056E-3</v>
      </c>
      <c r="W14" s="21"/>
    </row>
    <row r="15" spans="1:23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2824</v>
      </c>
      <c r="F15" s="28">
        <v>1457.23</v>
      </c>
      <c r="G15" s="11">
        <f t="shared" si="3"/>
        <v>0.51601628895184137</v>
      </c>
      <c r="H15" s="11"/>
      <c r="I15" s="25">
        <f t="shared" si="4"/>
        <v>0</v>
      </c>
      <c r="J15" s="10">
        <f t="shared" si="4"/>
        <v>0</v>
      </c>
      <c r="K15" s="23">
        <f t="shared" si="10"/>
        <v>0</v>
      </c>
      <c r="M15" s="29">
        <v>2824</v>
      </c>
      <c r="N15" s="31">
        <v>1457.23</v>
      </c>
      <c r="O15" s="23">
        <f t="shared" si="11"/>
        <v>0.51601628895184137</v>
      </c>
      <c r="P15" s="39"/>
      <c r="Q15" s="45">
        <f t="shared" si="2"/>
        <v>1457.2404800000002</v>
      </c>
      <c r="R15" s="21">
        <f t="shared" si="6"/>
        <v>-1.0480000000143264E-2</v>
      </c>
      <c r="S15" s="45">
        <f t="shared" si="7"/>
        <v>0</v>
      </c>
      <c r="T15" s="21">
        <f t="shared" si="8"/>
        <v>0</v>
      </c>
      <c r="U15" s="21">
        <f t="shared" si="9"/>
        <v>-1.0480000000143264E-2</v>
      </c>
      <c r="W15" s="21"/>
    </row>
    <row r="16" spans="1:23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36">
        <v>32</v>
      </c>
      <c r="F16" s="37">
        <v>16.510000000000002</v>
      </c>
      <c r="G16" s="11">
        <f t="shared" si="3"/>
        <v>0.51593750000000005</v>
      </c>
      <c r="H16" s="11"/>
      <c r="I16" s="25">
        <f t="shared" si="4"/>
        <v>0</v>
      </c>
      <c r="J16" s="10">
        <f t="shared" si="4"/>
        <v>0</v>
      </c>
      <c r="K16" s="23">
        <f t="shared" si="10"/>
        <v>0</v>
      </c>
      <c r="M16" s="29">
        <v>32</v>
      </c>
      <c r="N16" s="31">
        <v>16.510000000000002</v>
      </c>
      <c r="O16" s="23">
        <f t="shared" si="11"/>
        <v>0.51593750000000005</v>
      </c>
      <c r="P16" s="39"/>
      <c r="Q16" s="45">
        <f t="shared" si="2"/>
        <v>16.512640000000001</v>
      </c>
      <c r="R16" s="21">
        <f t="shared" si="6"/>
        <v>-2.6399999999995316E-3</v>
      </c>
      <c r="S16" s="45">
        <f t="shared" si="7"/>
        <v>0</v>
      </c>
      <c r="T16" s="21">
        <f t="shared" si="8"/>
        <v>0</v>
      </c>
      <c r="U16" s="21">
        <f t="shared" si="9"/>
        <v>-2.6399999999995316E-3</v>
      </c>
      <c r="W16" s="21"/>
    </row>
    <row r="17" spans="1:23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28">
        <v>184.74</v>
      </c>
      <c r="G17" s="11">
        <f t="shared" si="3"/>
        <v>0.51603351955307264</v>
      </c>
      <c r="H17" s="11"/>
      <c r="I17" s="25">
        <f t="shared" si="4"/>
        <v>0</v>
      </c>
      <c r="J17" s="10">
        <f t="shared" si="4"/>
        <v>0</v>
      </c>
      <c r="K17" s="23">
        <f t="shared" si="10"/>
        <v>0</v>
      </c>
      <c r="M17" s="29">
        <v>358</v>
      </c>
      <c r="N17" s="31">
        <v>184.74</v>
      </c>
      <c r="O17" s="23">
        <f t="shared" si="11"/>
        <v>0.51603351955307264</v>
      </c>
      <c r="P17" s="39"/>
      <c r="Q17" s="45">
        <f t="shared" si="2"/>
        <v>184.73516000000001</v>
      </c>
      <c r="R17" s="21">
        <f t="shared" si="6"/>
        <v>4.8400000000015098E-3</v>
      </c>
      <c r="S17" s="45">
        <f t="shared" si="7"/>
        <v>0</v>
      </c>
      <c r="T17" s="21">
        <f t="shared" si="8"/>
        <v>0</v>
      </c>
      <c r="U17" s="21">
        <f t="shared" si="9"/>
        <v>4.8400000000015098E-3</v>
      </c>
      <c r="W17" s="21"/>
    </row>
    <row r="18" spans="1:23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36">
        <v>615</v>
      </c>
      <c r="F18" s="37">
        <v>319.70999999999998</v>
      </c>
      <c r="G18" s="11">
        <f t="shared" si="3"/>
        <v>0.51985365853658538</v>
      </c>
      <c r="H18" s="11"/>
      <c r="I18" s="25">
        <f t="shared" si="4"/>
        <v>0</v>
      </c>
      <c r="J18" s="10">
        <f t="shared" si="4"/>
        <v>0</v>
      </c>
      <c r="K18" s="23">
        <f t="shared" si="10"/>
        <v>0</v>
      </c>
      <c r="M18" s="29">
        <v>615</v>
      </c>
      <c r="N18" s="31">
        <v>319.70999999999998</v>
      </c>
      <c r="O18" s="23">
        <f t="shared" si="11"/>
        <v>0.51985365853658538</v>
      </c>
      <c r="P18" s="39"/>
      <c r="Q18" s="45">
        <f>+M18*$M$4</f>
        <v>317.35230000000001</v>
      </c>
      <c r="R18" s="21">
        <f t="shared" si="6"/>
        <v>2.3576999999999657</v>
      </c>
      <c r="S18" s="45">
        <f t="shared" si="7"/>
        <v>0</v>
      </c>
      <c r="T18" s="21">
        <f t="shared" si="8"/>
        <v>0</v>
      </c>
      <c r="U18" s="21">
        <f t="shared" si="9"/>
        <v>2.3576999999999657</v>
      </c>
      <c r="W18" s="21"/>
    </row>
    <row r="19" spans="1:23" ht="15.75" thickBot="1" x14ac:dyDescent="0.3">
      <c r="A19" s="46" t="s">
        <v>2</v>
      </c>
      <c r="B19" s="47"/>
      <c r="C19" s="47"/>
      <c r="D19" s="48"/>
      <c r="E19" s="7">
        <f>SUM(E6:E18)</f>
        <v>52497462</v>
      </c>
      <c r="F19" s="9">
        <f>SUM(F6:F18)</f>
        <v>27090564.910000004</v>
      </c>
      <c r="I19" s="26">
        <f>SUM(I6:I18)</f>
        <v>33473</v>
      </c>
      <c r="J19" s="9">
        <f>SUM(J6:J18)</f>
        <v>18015.030000002123</v>
      </c>
      <c r="M19" s="7">
        <f>SUM(M6:M18)</f>
        <v>52463989</v>
      </c>
      <c r="N19" s="9">
        <f>SUM(N6:N18)</f>
        <v>27072549.880000003</v>
      </c>
      <c r="P19" s="15"/>
      <c r="Q19" s="15"/>
      <c r="R19" s="21">
        <f>SUM(R6:R18)</f>
        <v>82.276219998207168</v>
      </c>
      <c r="S19" s="15"/>
      <c r="T19" s="15"/>
      <c r="U19" s="15"/>
      <c r="W19" s="21"/>
    </row>
    <row r="24" spans="1:23" x14ac:dyDescent="0.25">
      <c r="G24" s="40" t="s">
        <v>54</v>
      </c>
      <c r="H24" s="40"/>
      <c r="I24" s="40"/>
      <c r="J24" s="41">
        <f>+J13+J14+J15+J16</f>
        <v>18741.900000002235</v>
      </c>
      <c r="K24" s="40"/>
      <c r="L24" s="40"/>
      <c r="M24" s="40"/>
      <c r="N24" s="41">
        <f>+N13+N14+N15+N16</f>
        <v>17768101.82</v>
      </c>
      <c r="O24" s="74">
        <f>+N24+J24</f>
        <v>17786843.720000003</v>
      </c>
      <c r="P24" s="40"/>
      <c r="Q24" s="40" t="s">
        <v>54</v>
      </c>
      <c r="R24" s="41">
        <f>+R13+R14+R15+R16</f>
        <v>43.986279998558686</v>
      </c>
      <c r="S24" s="15"/>
      <c r="T24" s="15"/>
      <c r="U24" s="41">
        <f>+U13+U14+U15+U16</f>
        <v>854.19128000079411</v>
      </c>
    </row>
    <row r="25" spans="1:23" x14ac:dyDescent="0.25">
      <c r="G25" s="40" t="s">
        <v>55</v>
      </c>
      <c r="H25" s="40"/>
      <c r="I25" s="40"/>
      <c r="J25" s="41">
        <f>+J6+J17+J18+J8</f>
        <v>-726.87000000011176</v>
      </c>
      <c r="K25" s="40"/>
      <c r="L25" s="40"/>
      <c r="M25" s="40"/>
      <c r="N25" s="41">
        <f>+N6+N17+N18+N8</f>
        <v>8377862.4400000004</v>
      </c>
      <c r="O25" s="74">
        <f t="shared" ref="O25:O28" si="12">+N25+J25</f>
        <v>8377135.5700000003</v>
      </c>
      <c r="P25" s="40"/>
      <c r="Q25" s="40" t="s">
        <v>55</v>
      </c>
      <c r="R25" s="41">
        <f>+R6+R17+R18+R8</f>
        <v>38.306719999642041</v>
      </c>
      <c r="S25" s="15"/>
      <c r="T25" s="15"/>
      <c r="U25" s="41">
        <f>+U6+U17+U18+U8</f>
        <v>-29.605740000469723</v>
      </c>
    </row>
    <row r="26" spans="1:23" x14ac:dyDescent="0.25">
      <c r="G26" s="40" t="s">
        <v>56</v>
      </c>
      <c r="H26" s="40"/>
      <c r="I26" s="40"/>
      <c r="J26" s="41">
        <f>+J9+J11</f>
        <v>0</v>
      </c>
      <c r="K26" s="40"/>
      <c r="L26" s="40"/>
      <c r="M26" s="40"/>
      <c r="N26" s="41">
        <f>+N9+N11</f>
        <v>574890.63</v>
      </c>
      <c r="O26" s="74">
        <f t="shared" si="12"/>
        <v>574890.63</v>
      </c>
      <c r="P26" s="40"/>
      <c r="Q26" s="40" t="s">
        <v>56</v>
      </c>
      <c r="R26" s="41">
        <f>+R9+R11</f>
        <v>-2.7719999964574527E-2</v>
      </c>
      <c r="S26" s="15"/>
      <c r="T26" s="15"/>
      <c r="U26" s="41">
        <f>+U9+U11</f>
        <v>-2.7719999964574527E-2</v>
      </c>
    </row>
    <row r="27" spans="1:23" x14ac:dyDescent="0.25">
      <c r="G27" s="40" t="s">
        <v>57</v>
      </c>
      <c r="H27" s="40"/>
      <c r="I27" s="40"/>
      <c r="J27" s="41">
        <f>+J7+J10</f>
        <v>0</v>
      </c>
      <c r="K27" s="40"/>
      <c r="L27" s="40"/>
      <c r="M27" s="40"/>
      <c r="N27" s="41">
        <f>+N7+N10</f>
        <v>150300.63999999998</v>
      </c>
      <c r="O27" s="74">
        <f t="shared" si="12"/>
        <v>150300.63999999998</v>
      </c>
      <c r="P27" s="40"/>
      <c r="Q27" s="40" t="s">
        <v>57</v>
      </c>
      <c r="R27" s="41">
        <f>+R7+R10</f>
        <v>1.0619999979098793E-2</v>
      </c>
      <c r="S27" s="15"/>
      <c r="T27" s="15"/>
      <c r="U27" s="41">
        <f>+U7+U10</f>
        <v>1.0619999979098793E-2</v>
      </c>
    </row>
    <row r="28" spans="1:23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201394.35</v>
      </c>
      <c r="O28" s="74">
        <f t="shared" si="12"/>
        <v>201394.35</v>
      </c>
      <c r="P28" s="40"/>
      <c r="Q28" s="40" t="s">
        <v>58</v>
      </c>
      <c r="R28" s="41">
        <f>+R12</f>
        <v>3.1999999191612005E-4</v>
      </c>
      <c r="S28" s="15"/>
      <c r="T28" s="15"/>
      <c r="U28" s="41">
        <f>+U12</f>
        <v>3.1999999191612005E-4</v>
      </c>
    </row>
    <row r="29" spans="1:23" x14ac:dyDescent="0.25">
      <c r="G29" s="40"/>
      <c r="H29" s="40"/>
      <c r="I29" s="40"/>
      <c r="J29" s="40"/>
      <c r="K29" s="40"/>
      <c r="L29" s="40"/>
      <c r="M29" s="40"/>
      <c r="N29" s="40"/>
      <c r="O29" s="74">
        <f>SUM(O24:O28)</f>
        <v>27090564.910000004</v>
      </c>
      <c r="P29" s="41">
        <f>+O29-F19</f>
        <v>0</v>
      </c>
      <c r="Q29" s="40"/>
      <c r="R29" s="40"/>
      <c r="S29" s="15"/>
      <c r="T29" s="15"/>
      <c r="U29" s="15"/>
    </row>
  </sheetData>
  <mergeCells count="5">
    <mergeCell ref="A1:C1"/>
    <mergeCell ref="A3:C4"/>
    <mergeCell ref="I4:J4"/>
    <mergeCell ref="M4:N4"/>
    <mergeCell ref="A19:D19"/>
  </mergeCells>
  <pageMargins left="0.75" right="0.75" top="1" bottom="1" header="0.5" footer="0.5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showGridLines="0" zoomScaleNormal="100" workbookViewId="0">
      <selection activeCell="A2" sqref="A2:XFD29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0.85546875" customWidth="1"/>
    <col min="5" max="5" width="10.85546875" bestFit="1" customWidth="1"/>
    <col min="6" max="6" width="13" bestFit="1" customWidth="1"/>
    <col min="7" max="7" width="7.28515625" customWidth="1"/>
    <col min="8" max="8" width="2.5703125" customWidth="1"/>
    <col min="9" max="9" width="9.42578125" bestFit="1" customWidth="1"/>
    <col min="10" max="10" width="14.85546875" bestFit="1" customWidth="1"/>
    <col min="11" max="11" width="8.140625" style="15" bestFit="1" customWidth="1"/>
    <col min="12" max="12" width="2.7109375" customWidth="1"/>
    <col min="14" max="14" width="14.85546875" bestFit="1" customWidth="1"/>
    <col min="15" max="15" width="15.85546875" style="15" bestFit="1" customWidth="1"/>
    <col min="16" max="16" width="8.140625" bestFit="1" customWidth="1"/>
    <col min="17" max="17" width="13.85546875" bestFit="1" customWidth="1"/>
    <col min="18" max="18" width="9.5703125" bestFit="1" customWidth="1"/>
    <col min="19" max="19" width="14.28515625" bestFit="1" customWidth="1"/>
    <col min="20" max="21" width="13.42578125" bestFit="1" customWidth="1"/>
  </cols>
  <sheetData>
    <row r="1" spans="1:21" ht="15.75" x14ac:dyDescent="0.25">
      <c r="A1" s="57" t="s">
        <v>38</v>
      </c>
      <c r="B1" s="57"/>
      <c r="C1" s="57"/>
    </row>
    <row r="2" spans="1:21" ht="15.75" thickBot="1" x14ac:dyDescent="0.3">
      <c r="A2" s="1"/>
    </row>
    <row r="3" spans="1:21" ht="15.75" thickBot="1" x14ac:dyDescent="0.3">
      <c r="A3" s="49"/>
      <c r="B3" s="50"/>
      <c r="C3" s="51"/>
      <c r="D3" s="3" t="s">
        <v>1</v>
      </c>
      <c r="E3" s="6" t="s">
        <v>60</v>
      </c>
      <c r="F3" s="6" t="s">
        <v>60</v>
      </c>
      <c r="I3" s="6" t="s">
        <v>60</v>
      </c>
      <c r="J3" s="6" t="s">
        <v>60</v>
      </c>
      <c r="M3" s="6" t="s">
        <v>60</v>
      </c>
      <c r="N3" s="6" t="s">
        <v>60</v>
      </c>
    </row>
    <row r="4" spans="1:21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39</v>
      </c>
      <c r="J4" s="72"/>
      <c r="K4" s="24"/>
      <c r="M4" s="55" t="s">
        <v>61</v>
      </c>
      <c r="N4" s="56"/>
      <c r="O4" s="24"/>
    </row>
    <row r="5" spans="1:21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1" ht="23.2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15186148</v>
      </c>
      <c r="F6" s="28">
        <v>7541793.5899999999</v>
      </c>
      <c r="G6" s="11">
        <f t="shared" ref="G6:G10" si="0">+IFERROR(F6/E6,0)</f>
        <v>0.49662321149510724</v>
      </c>
      <c r="H6" s="11"/>
      <c r="I6" s="25">
        <f>E6-M6</f>
        <v>8167833</v>
      </c>
      <c r="J6" s="10">
        <f>F6-N6</f>
        <v>4213226.5</v>
      </c>
      <c r="K6" s="23">
        <f t="shared" ref="K6:K10" si="1">IFERROR(J6/I6,0)</f>
        <v>0.51583161653770349</v>
      </c>
      <c r="M6" s="29">
        <f>5724+7012591</f>
        <v>7018315</v>
      </c>
      <c r="N6" s="31">
        <f>2953.65+3325613.44</f>
        <v>3328567.09</v>
      </c>
      <c r="O6" s="23">
        <f t="shared" ref="O6:O10" si="2">IFERROR(N6/M6,0)</f>
        <v>0.47426869412387446</v>
      </c>
      <c r="P6" s="39">
        <f>+K6-O6</f>
        <v>4.1562922413829029E-2</v>
      </c>
      <c r="Q6" s="45">
        <f t="shared" ref="Q6:Q17" si="3">+M6*$M$4</f>
        <v>3328295.52245</v>
      </c>
      <c r="R6" s="21">
        <f>+N6-Q6</f>
        <v>271.5675499998033</v>
      </c>
      <c r="S6" s="45">
        <f t="shared" ref="S6:S12" si="4">+I6*0.51602</f>
        <v>4214765.1846600007</v>
      </c>
      <c r="T6" s="21">
        <f>-S6+J6</f>
        <v>-1538.6846600007266</v>
      </c>
      <c r="U6" s="21">
        <f>+R6+T6</f>
        <v>-1267.1171100009233</v>
      </c>
    </row>
    <row r="7" spans="1:21" ht="23.2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131261</v>
      </c>
      <c r="F7" s="28">
        <v>64510.99</v>
      </c>
      <c r="G7" s="11">
        <f t="shared" si="0"/>
        <v>0.49147111480180705</v>
      </c>
      <c r="H7" s="11"/>
      <c r="I7" s="25">
        <f t="shared" ref="I7:J18" si="5">E7-M7</f>
        <v>54154</v>
      </c>
      <c r="J7" s="10">
        <f t="shared" si="5"/>
        <v>27944.549999999996</v>
      </c>
      <c r="K7" s="23">
        <f t="shared" si="1"/>
        <v>0.51602005392030126</v>
      </c>
      <c r="M7" s="29">
        <v>77107</v>
      </c>
      <c r="N7" s="31">
        <v>36566.44</v>
      </c>
      <c r="O7" s="23">
        <f t="shared" si="2"/>
        <v>0.47422983646102174</v>
      </c>
      <c r="P7" s="39">
        <f t="shared" ref="P7:P13" si="6">+K7-O7</f>
        <v>4.1790217459279522E-2</v>
      </c>
      <c r="Q7" s="45">
        <f t="shared" si="3"/>
        <v>36566.45261</v>
      </c>
      <c r="R7" s="21">
        <f t="shared" ref="R7:R18" si="7">+N7-Q7</f>
        <v>-1.2609999997948762E-2</v>
      </c>
      <c r="S7" s="45">
        <f t="shared" si="4"/>
        <v>27944.54708</v>
      </c>
      <c r="T7" s="21">
        <f t="shared" ref="T7:T18" si="8">-S7+J7</f>
        <v>2.9199999953561928E-3</v>
      </c>
      <c r="U7" s="21">
        <f t="shared" ref="U7:U18" si="9">+R7+T7</f>
        <v>-9.6900000025925692E-3</v>
      </c>
    </row>
    <row r="8" spans="1:21" ht="23.2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35">
        <v>0</v>
      </c>
      <c r="F8" s="28">
        <v>0</v>
      </c>
      <c r="G8" s="11">
        <f t="shared" si="0"/>
        <v>0</v>
      </c>
      <c r="H8" s="12"/>
      <c r="I8" s="25">
        <f t="shared" si="5"/>
        <v>0</v>
      </c>
      <c r="J8" s="10">
        <f t="shared" si="5"/>
        <v>0</v>
      </c>
      <c r="K8" s="23">
        <f t="shared" si="1"/>
        <v>0</v>
      </c>
      <c r="M8" s="35">
        <v>0</v>
      </c>
      <c r="N8" s="28">
        <v>0</v>
      </c>
      <c r="O8" s="23">
        <f t="shared" si="2"/>
        <v>0</v>
      </c>
      <c r="P8" s="39"/>
      <c r="Q8" s="45">
        <f t="shared" si="3"/>
        <v>0</v>
      </c>
      <c r="R8" s="21">
        <f t="shared" si="7"/>
        <v>0</v>
      </c>
      <c r="S8" s="45">
        <f t="shared" si="4"/>
        <v>0</v>
      </c>
      <c r="T8" s="21">
        <f t="shared" si="8"/>
        <v>0</v>
      </c>
      <c r="U8" s="21">
        <f t="shared" si="9"/>
        <v>0</v>
      </c>
    </row>
    <row r="9" spans="1:21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1083763</v>
      </c>
      <c r="F9" s="28">
        <v>532021.57999999996</v>
      </c>
      <c r="G9" s="11">
        <f t="shared" si="0"/>
        <v>0.49090214373437729</v>
      </c>
      <c r="H9" s="11"/>
      <c r="I9" s="25">
        <f t="shared" si="5"/>
        <v>432369</v>
      </c>
      <c r="J9" s="10">
        <f t="shared" si="5"/>
        <v>223110.94999999995</v>
      </c>
      <c r="K9" s="23">
        <f t="shared" si="1"/>
        <v>0.51601976552435525</v>
      </c>
      <c r="M9" s="29">
        <v>651394</v>
      </c>
      <c r="N9" s="31">
        <v>308910.63</v>
      </c>
      <c r="O9" s="23">
        <f t="shared" si="2"/>
        <v>0.47423008194733141</v>
      </c>
      <c r="P9" s="39">
        <f t="shared" si="6"/>
        <v>4.178968357702384E-2</v>
      </c>
      <c r="Q9" s="45">
        <f t="shared" si="3"/>
        <v>308910.57662000001</v>
      </c>
      <c r="R9" s="21">
        <f t="shared" si="7"/>
        <v>5.3379999997559935E-2</v>
      </c>
      <c r="S9" s="45">
        <f t="shared" si="4"/>
        <v>223111.05138000002</v>
      </c>
      <c r="T9" s="21">
        <f t="shared" si="8"/>
        <v>-0.10138000006554648</v>
      </c>
      <c r="U9" s="21">
        <f t="shared" si="9"/>
        <v>-4.8000000067986548E-2</v>
      </c>
    </row>
    <row r="10" spans="1:21" ht="23.2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186861</v>
      </c>
      <c r="F10" s="28">
        <v>90207.54</v>
      </c>
      <c r="G10" s="11">
        <f t="shared" si="0"/>
        <v>0.48275209915391654</v>
      </c>
      <c r="H10" s="11"/>
      <c r="I10" s="25">
        <f t="shared" si="5"/>
        <v>38106</v>
      </c>
      <c r="J10" s="10">
        <f t="shared" si="5"/>
        <v>19663.459999999992</v>
      </c>
      <c r="K10" s="23">
        <f t="shared" si="1"/>
        <v>0.51602004933606238</v>
      </c>
      <c r="M10" s="29">
        <v>148755</v>
      </c>
      <c r="N10" s="31">
        <v>70544.08</v>
      </c>
      <c r="O10" s="23">
        <f t="shared" si="2"/>
        <v>0.47422997546300966</v>
      </c>
      <c r="P10" s="39">
        <f t="shared" si="6"/>
        <v>4.1790073873052724E-2</v>
      </c>
      <c r="Q10" s="45">
        <f t="shared" si="3"/>
        <v>70544.08365</v>
      </c>
      <c r="R10" s="21">
        <f t="shared" si="7"/>
        <v>-3.6499999987427145E-3</v>
      </c>
      <c r="S10" s="45">
        <f t="shared" si="4"/>
        <v>19663.458120000003</v>
      </c>
      <c r="T10" s="21">
        <f t="shared" si="8"/>
        <v>1.8799999888869934E-3</v>
      </c>
      <c r="U10" s="21">
        <f t="shared" si="9"/>
        <v>-1.7700000098557211E-3</v>
      </c>
    </row>
    <row r="11" spans="1:21" ht="23.2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1131</v>
      </c>
      <c r="F11" s="28">
        <v>536.35</v>
      </c>
      <c r="G11" s="11">
        <f>+IFERROR(F11/E11,0)</f>
        <v>0.4742263483642794</v>
      </c>
      <c r="H11" s="12"/>
      <c r="I11" s="25">
        <f t="shared" si="5"/>
        <v>0</v>
      </c>
      <c r="J11" s="10">
        <f t="shared" si="5"/>
        <v>0</v>
      </c>
      <c r="K11" s="23">
        <f>IFERROR(J11/I11,0)</f>
        <v>0</v>
      </c>
      <c r="M11" s="29">
        <v>1131</v>
      </c>
      <c r="N11" s="28">
        <v>536.35</v>
      </c>
      <c r="O11" s="23">
        <f>IFERROR(N11/M11,0)</f>
        <v>0.4742263483642794</v>
      </c>
      <c r="P11" s="39"/>
      <c r="Q11" s="45">
        <f t="shared" si="3"/>
        <v>536.35412999999994</v>
      </c>
      <c r="R11" s="21">
        <f t="shared" si="7"/>
        <v>-4.1299999999182546E-3</v>
      </c>
      <c r="S11" s="45">
        <f t="shared" si="4"/>
        <v>0</v>
      </c>
      <c r="T11" s="21">
        <f t="shared" si="8"/>
        <v>0</v>
      </c>
      <c r="U11" s="21">
        <f t="shared" si="9"/>
        <v>-4.1299999999182546E-3</v>
      </c>
    </row>
    <row r="12" spans="1:21" ht="23.2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36">
        <v>298558</v>
      </c>
      <c r="F12" s="37">
        <v>141585.16</v>
      </c>
      <c r="G12" s="11">
        <f t="shared" ref="G12:G18" si="10">+IFERROR(F12/E12,0)</f>
        <v>0.47422999886119283</v>
      </c>
      <c r="H12" s="11"/>
      <c r="I12" s="25">
        <f t="shared" si="5"/>
        <v>0</v>
      </c>
      <c r="J12" s="10">
        <f t="shared" si="5"/>
        <v>0</v>
      </c>
      <c r="K12" s="23">
        <f t="shared" ref="K12:K18" si="11">IFERROR(J12/I12,0)</f>
        <v>0</v>
      </c>
      <c r="M12" s="36">
        <v>298558</v>
      </c>
      <c r="N12" s="37">
        <v>141585.16</v>
      </c>
      <c r="O12" s="23">
        <f t="shared" ref="O12:O18" si="12">IFERROR(N12/M12,0)</f>
        <v>0.47422999886119283</v>
      </c>
      <c r="P12" s="39"/>
      <c r="Q12" s="45">
        <f t="shared" si="3"/>
        <v>141585.16034</v>
      </c>
      <c r="R12" s="21">
        <f t="shared" si="7"/>
        <v>-3.3999999868683517E-4</v>
      </c>
      <c r="S12" s="45">
        <f t="shared" si="4"/>
        <v>0</v>
      </c>
      <c r="T12" s="21">
        <f t="shared" si="8"/>
        <v>0</v>
      </c>
      <c r="U12" s="21">
        <f t="shared" si="9"/>
        <v>-3.3999999868683517E-4</v>
      </c>
    </row>
    <row r="13" spans="1:21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32952339</v>
      </c>
      <c r="F13" s="28">
        <v>16349868.439999999</v>
      </c>
      <c r="G13" s="11">
        <f t="shared" si="10"/>
        <v>0.49616715948449058</v>
      </c>
      <c r="H13" s="11"/>
      <c r="I13" s="25">
        <f t="shared" si="5"/>
        <v>17709527</v>
      </c>
      <c r="J13" s="10">
        <f t="shared" si="5"/>
        <v>9121043.5899999999</v>
      </c>
      <c r="K13" s="23">
        <f t="shared" si="11"/>
        <v>0.51503597978647309</v>
      </c>
      <c r="M13" s="29">
        <f>769+15242043</f>
        <v>15242812</v>
      </c>
      <c r="N13" s="31">
        <f>397.56+7228427.29</f>
        <v>7228824.8499999996</v>
      </c>
      <c r="O13" s="23">
        <f t="shared" si="12"/>
        <v>0.47424483422087732</v>
      </c>
      <c r="P13" s="39">
        <f t="shared" si="6"/>
        <v>4.0791145565595766E-2</v>
      </c>
      <c r="Q13" s="45">
        <f t="shared" si="3"/>
        <v>7228598.7347599994</v>
      </c>
      <c r="R13" s="21">
        <f t="shared" si="7"/>
        <v>226.11524000018835</v>
      </c>
      <c r="S13" s="45">
        <f>+I13*0.51602</f>
        <v>9138470.1225400008</v>
      </c>
      <c r="T13" s="21">
        <f t="shared" si="8"/>
        <v>-17426.532540000975</v>
      </c>
      <c r="U13" s="21">
        <f t="shared" si="9"/>
        <v>-17200.417300000787</v>
      </c>
    </row>
    <row r="14" spans="1:21" ht="23.2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36">
        <v>0</v>
      </c>
      <c r="F14" s="37">
        <v>0</v>
      </c>
      <c r="G14" s="11">
        <f t="shared" si="10"/>
        <v>0</v>
      </c>
      <c r="H14" s="11"/>
      <c r="I14" s="25">
        <f t="shared" si="5"/>
        <v>0</v>
      </c>
      <c r="J14" s="10">
        <f t="shared" si="5"/>
        <v>0</v>
      </c>
      <c r="K14" s="23">
        <f t="shared" si="11"/>
        <v>0</v>
      </c>
      <c r="M14" s="35">
        <v>0</v>
      </c>
      <c r="N14" s="31">
        <v>0</v>
      </c>
      <c r="O14" s="23">
        <f t="shared" si="12"/>
        <v>0</v>
      </c>
      <c r="P14" s="39"/>
      <c r="Q14" s="45">
        <f t="shared" si="3"/>
        <v>0</v>
      </c>
      <c r="R14" s="21">
        <f t="shared" si="7"/>
        <v>0</v>
      </c>
      <c r="S14" s="45">
        <f t="shared" ref="S14:S18" si="13">+I14*0.51602</f>
        <v>0</v>
      </c>
      <c r="T14" s="21">
        <f t="shared" si="8"/>
        <v>0</v>
      </c>
      <c r="U14" s="21">
        <f t="shared" si="9"/>
        <v>0</v>
      </c>
    </row>
    <row r="15" spans="1:21" ht="23.2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2659</v>
      </c>
      <c r="F15" s="28">
        <v>1311.9</v>
      </c>
      <c r="G15" s="11">
        <f t="shared" si="10"/>
        <v>0.49338097028958261</v>
      </c>
      <c r="H15" s="11"/>
      <c r="I15" s="25">
        <f t="shared" si="5"/>
        <v>1219</v>
      </c>
      <c r="J15" s="10">
        <f t="shared" si="5"/>
        <v>629.0200000000001</v>
      </c>
      <c r="K15" s="23">
        <f t="shared" si="11"/>
        <v>0.51601312551271539</v>
      </c>
      <c r="M15" s="29">
        <v>1440</v>
      </c>
      <c r="N15" s="31">
        <v>682.88</v>
      </c>
      <c r="O15" s="23">
        <f t="shared" si="12"/>
        <v>0.47422222222222221</v>
      </c>
      <c r="P15" s="39"/>
      <c r="Q15" s="45">
        <f t="shared" si="3"/>
        <v>682.89120000000003</v>
      </c>
      <c r="R15" s="21">
        <f t="shared" si="7"/>
        <v>-1.1200000000030741E-2</v>
      </c>
      <c r="S15" s="45">
        <f t="shared" si="13"/>
        <v>629.02838000000008</v>
      </c>
      <c r="T15" s="21">
        <f t="shared" si="8"/>
        <v>-8.3799999999882857E-3</v>
      </c>
      <c r="U15" s="21">
        <f t="shared" si="9"/>
        <v>-1.9580000000019027E-2</v>
      </c>
    </row>
    <row r="16" spans="1:21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36">
        <v>32</v>
      </c>
      <c r="F16" s="37">
        <v>15.51</v>
      </c>
      <c r="G16" s="11">
        <f t="shared" si="10"/>
        <v>0.48468749999999999</v>
      </c>
      <c r="H16" s="11"/>
      <c r="I16" s="25">
        <f t="shared" si="5"/>
        <v>8</v>
      </c>
      <c r="J16" s="10">
        <f t="shared" si="5"/>
        <v>4.129999999999999</v>
      </c>
      <c r="K16" s="23">
        <f t="shared" si="11"/>
        <v>0.51624999999999988</v>
      </c>
      <c r="M16" s="29">
        <v>24</v>
      </c>
      <c r="N16" s="31">
        <v>11.38</v>
      </c>
      <c r="O16" s="23">
        <f t="shared" si="12"/>
        <v>0.47416666666666668</v>
      </c>
      <c r="P16" s="39"/>
      <c r="Q16" s="45">
        <f t="shared" si="3"/>
        <v>11.38152</v>
      </c>
      <c r="R16" s="21">
        <f t="shared" si="7"/>
        <v>-1.5199999999992997E-3</v>
      </c>
      <c r="S16" s="45">
        <f t="shared" si="13"/>
        <v>4.1281600000000003</v>
      </c>
      <c r="T16" s="21">
        <f t="shared" si="8"/>
        <v>1.8399999999987315E-3</v>
      </c>
      <c r="U16" s="21">
        <f t="shared" si="9"/>
        <v>3.1999999999943185E-4</v>
      </c>
    </row>
    <row r="17" spans="1:21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28">
        <v>173.41</v>
      </c>
      <c r="G17" s="11">
        <f t="shared" si="10"/>
        <v>0.48438547486033517</v>
      </c>
      <c r="H17" s="11"/>
      <c r="I17" s="25">
        <f t="shared" si="5"/>
        <v>87</v>
      </c>
      <c r="J17" s="10">
        <f t="shared" si="5"/>
        <v>44.900000000000006</v>
      </c>
      <c r="K17" s="23">
        <f t="shared" si="11"/>
        <v>0.51609195402298857</v>
      </c>
      <c r="M17" s="29">
        <v>271</v>
      </c>
      <c r="N17" s="31">
        <v>128.51</v>
      </c>
      <c r="O17" s="23">
        <f t="shared" si="12"/>
        <v>0.47420664206642066</v>
      </c>
      <c r="P17" s="39"/>
      <c r="Q17" s="45">
        <f t="shared" si="3"/>
        <v>128.51632999999998</v>
      </c>
      <c r="R17" s="21">
        <f t="shared" si="7"/>
        <v>-6.329999999991287E-3</v>
      </c>
      <c r="S17" s="45">
        <f t="shared" si="13"/>
        <v>44.893740000000001</v>
      </c>
      <c r="T17" s="21">
        <f t="shared" si="8"/>
        <v>6.2600000000045952E-3</v>
      </c>
      <c r="U17" s="21">
        <f t="shared" si="9"/>
        <v>-6.9999999986691819E-5</v>
      </c>
    </row>
    <row r="18" spans="1:21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36">
        <v>613</v>
      </c>
      <c r="F18" s="37">
        <v>305.07</v>
      </c>
      <c r="G18" s="11">
        <f t="shared" si="10"/>
        <v>0.49766721044045675</v>
      </c>
      <c r="H18" s="11"/>
      <c r="I18" s="25">
        <f t="shared" si="5"/>
        <v>339</v>
      </c>
      <c r="J18" s="10">
        <f t="shared" si="5"/>
        <v>176.26</v>
      </c>
      <c r="K18" s="23">
        <f t="shared" si="11"/>
        <v>0.51994100294985246</v>
      </c>
      <c r="M18" s="29">
        <v>274</v>
      </c>
      <c r="N18" s="31">
        <v>128.81</v>
      </c>
      <c r="O18" s="23">
        <f t="shared" si="12"/>
        <v>0.4701094890510949</v>
      </c>
      <c r="P18" s="39"/>
      <c r="Q18" s="45">
        <f>+M18*$M$4</f>
        <v>129.93902</v>
      </c>
      <c r="R18" s="21">
        <f t="shared" si="7"/>
        <v>-1.129019999999997</v>
      </c>
      <c r="S18" s="45">
        <f t="shared" si="13"/>
        <v>174.93078</v>
      </c>
      <c r="T18" s="21">
        <f t="shared" si="8"/>
        <v>1.3292199999999923</v>
      </c>
      <c r="U18" s="21">
        <f t="shared" si="9"/>
        <v>0.20019999999999527</v>
      </c>
    </row>
    <row r="19" spans="1:21" ht="15.75" thickBot="1" x14ac:dyDescent="0.3">
      <c r="A19" s="46" t="s">
        <v>2</v>
      </c>
      <c r="B19" s="47"/>
      <c r="C19" s="47"/>
      <c r="D19" s="48"/>
      <c r="E19" s="7">
        <f>SUM(E6:E18)</f>
        <v>49843723</v>
      </c>
      <c r="F19" s="9">
        <f>SUM(F6:F18)</f>
        <v>24722329.539999999</v>
      </c>
      <c r="I19" s="26">
        <f>SUM(I6:I18)</f>
        <v>26403642</v>
      </c>
      <c r="J19" s="9">
        <f>SUM(J6:J18)</f>
        <v>13605843.360000001</v>
      </c>
      <c r="M19" s="7">
        <f>SUM(M6:M18)</f>
        <v>23440081</v>
      </c>
      <c r="N19" s="9">
        <f>SUM(N6:N18)</f>
        <v>11116486.180000002</v>
      </c>
      <c r="P19" s="15"/>
      <c r="Q19" s="15"/>
      <c r="R19" s="21">
        <f>SUM(R6:R18)</f>
        <v>496.56736999999384</v>
      </c>
      <c r="S19" s="15"/>
      <c r="T19" s="15"/>
      <c r="U19" s="15"/>
    </row>
    <row r="21" spans="1:21" x14ac:dyDescent="0.25">
      <c r="J21" s="42"/>
      <c r="K21" s="43"/>
      <c r="N21" s="43"/>
    </row>
    <row r="22" spans="1:21" x14ac:dyDescent="0.25">
      <c r="N22" s="15"/>
    </row>
    <row r="23" spans="1:21" x14ac:dyDescent="0.25">
      <c r="J23" s="42"/>
      <c r="K23" s="43"/>
      <c r="N23" s="43"/>
    </row>
    <row r="24" spans="1:21" x14ac:dyDescent="0.25">
      <c r="G24" s="40" t="s">
        <v>54</v>
      </c>
      <c r="H24" s="40"/>
      <c r="I24" s="40"/>
      <c r="J24" s="41">
        <f>+J13+J14+J15+J16</f>
        <v>9121676.7400000002</v>
      </c>
      <c r="K24" s="40"/>
      <c r="L24" s="40"/>
      <c r="M24" s="40"/>
      <c r="N24" s="41">
        <f>+N13+N14+N15+N16</f>
        <v>7229519.1099999994</v>
      </c>
      <c r="O24" s="41">
        <f>+N24+J24</f>
        <v>16351195.85</v>
      </c>
      <c r="P24" s="40"/>
      <c r="Q24" s="40" t="s">
        <v>54</v>
      </c>
      <c r="R24" s="41">
        <f>+R13+R14+R15+R16</f>
        <v>226.10252000018832</v>
      </c>
      <c r="S24" s="15"/>
      <c r="T24" s="15"/>
      <c r="U24" s="41">
        <f>+U13+U14+U15+U16</f>
        <v>-17200.436560000788</v>
      </c>
    </row>
    <row r="25" spans="1:21" x14ac:dyDescent="0.25">
      <c r="G25" s="40" t="s">
        <v>55</v>
      </c>
      <c r="H25" s="40"/>
      <c r="I25" s="40"/>
      <c r="J25" s="41">
        <f>+J6+J17+J18+J8</f>
        <v>4213447.66</v>
      </c>
      <c r="K25" s="40"/>
      <c r="L25" s="40"/>
      <c r="M25" s="40"/>
      <c r="N25" s="41">
        <f>+N6+N17+N18+N8</f>
        <v>3328824.4099999997</v>
      </c>
      <c r="O25" s="41">
        <f t="shared" ref="O25:O28" si="14">+N25+J25</f>
        <v>7542272.0700000003</v>
      </c>
      <c r="P25" s="40"/>
      <c r="Q25" s="40" t="s">
        <v>55</v>
      </c>
      <c r="R25" s="41">
        <f>+R6+R17+R18+R8</f>
        <v>270.43219999980329</v>
      </c>
      <c r="S25" s="15"/>
      <c r="T25" s="15"/>
      <c r="U25" s="41">
        <f>+U6+U17+U18+U8</f>
        <v>-1266.9169800009233</v>
      </c>
    </row>
    <row r="26" spans="1:21" x14ac:dyDescent="0.25">
      <c r="G26" s="40" t="s">
        <v>56</v>
      </c>
      <c r="H26" s="40"/>
      <c r="I26" s="40"/>
      <c r="J26" s="41">
        <f>+J9+J11</f>
        <v>223110.94999999995</v>
      </c>
      <c r="K26" s="40"/>
      <c r="L26" s="40"/>
      <c r="M26" s="40"/>
      <c r="N26" s="41">
        <f>+N9+N11</f>
        <v>309446.98</v>
      </c>
      <c r="O26" s="41">
        <f t="shared" si="14"/>
        <v>532557.92999999993</v>
      </c>
      <c r="P26" s="40"/>
      <c r="Q26" s="40" t="s">
        <v>56</v>
      </c>
      <c r="R26" s="41">
        <f>+R9+R11</f>
        <v>4.924999999764168E-2</v>
      </c>
      <c r="S26" s="15"/>
      <c r="T26" s="15"/>
      <c r="U26" s="41">
        <f>+U9+U11</f>
        <v>-5.2130000067904803E-2</v>
      </c>
    </row>
    <row r="27" spans="1:21" x14ac:dyDescent="0.25">
      <c r="G27" s="40" t="s">
        <v>57</v>
      </c>
      <c r="H27" s="40"/>
      <c r="I27" s="40"/>
      <c r="J27" s="41">
        <f>+J7+J10</f>
        <v>47608.009999999987</v>
      </c>
      <c r="K27" s="40"/>
      <c r="L27" s="40"/>
      <c r="M27" s="40"/>
      <c r="N27" s="41">
        <f>+N7+N10</f>
        <v>107110.52</v>
      </c>
      <c r="O27" s="41">
        <f t="shared" si="14"/>
        <v>154718.53</v>
      </c>
      <c r="P27" s="40"/>
      <c r="Q27" s="40" t="s">
        <v>57</v>
      </c>
      <c r="R27" s="41">
        <f>+R7+R10</f>
        <v>-1.6259999996691477E-2</v>
      </c>
      <c r="S27" s="15"/>
      <c r="T27" s="15"/>
      <c r="U27" s="41">
        <f>+U7+U10</f>
        <v>-1.146000001244829E-2</v>
      </c>
    </row>
    <row r="28" spans="1:21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141585.16</v>
      </c>
      <c r="O28" s="41">
        <f t="shared" si="14"/>
        <v>141585.16</v>
      </c>
      <c r="P28" s="40"/>
      <c r="Q28" s="40" t="s">
        <v>58</v>
      </c>
      <c r="R28" s="41">
        <f>+R12</f>
        <v>-3.3999999868683517E-4</v>
      </c>
      <c r="S28" s="15"/>
      <c r="T28" s="15"/>
      <c r="U28" s="41">
        <f>+U12</f>
        <v>-3.3999999868683517E-4</v>
      </c>
    </row>
    <row r="29" spans="1:21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24722329.540000003</v>
      </c>
      <c r="P29" s="41">
        <f>+O29-F19</f>
        <v>0</v>
      </c>
      <c r="Q29" s="40"/>
      <c r="R29" s="40"/>
      <c r="S29" s="15"/>
      <c r="T29" s="15"/>
      <c r="U29" s="15"/>
    </row>
  </sheetData>
  <mergeCells count="5">
    <mergeCell ref="A1:C1"/>
    <mergeCell ref="A3:C4"/>
    <mergeCell ref="I4:J4"/>
    <mergeCell ref="M4:N4"/>
    <mergeCell ref="A19:D19"/>
  </mergeCells>
  <pageMargins left="0.75" right="0.75" top="1" bottom="1" header="0.5" footer="0.5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showGridLines="0" zoomScaleNormal="100" workbookViewId="0">
      <selection activeCell="D21" sqref="D21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5.28515625" bestFit="1" customWidth="1"/>
    <col min="8" max="8" width="2.5703125" customWidth="1"/>
    <col min="9" max="9" width="9.42578125" bestFit="1" customWidth="1"/>
    <col min="10" max="10" width="13" bestFit="1" customWidth="1"/>
    <col min="11" max="11" width="8.140625" style="15" bestFit="1" customWidth="1"/>
    <col min="12" max="12" width="2.7109375" customWidth="1"/>
    <col min="14" max="14" width="15.85546875" bestFit="1" customWidth="1"/>
    <col min="15" max="15" width="15.85546875" style="15" bestFit="1" customWidth="1"/>
    <col min="16" max="16" width="15.85546875" bestFit="1" customWidth="1"/>
    <col min="17" max="17" width="15.140625" bestFit="1" customWidth="1"/>
    <col min="18" max="18" width="9.5703125" bestFit="1" customWidth="1"/>
    <col min="19" max="19" width="12.28515625" bestFit="1" customWidth="1"/>
    <col min="20" max="21" width="13" bestFit="1" customWidth="1"/>
  </cols>
  <sheetData>
    <row r="1" spans="1:21" ht="15.75" x14ac:dyDescent="0.25">
      <c r="A1" s="57" t="s">
        <v>38</v>
      </c>
      <c r="B1" s="57"/>
      <c r="C1" s="57"/>
    </row>
    <row r="2" spans="1:21" ht="15.75" thickBot="1" x14ac:dyDescent="0.3">
      <c r="A2" s="1"/>
    </row>
    <row r="3" spans="1:21" ht="15.75" thickBot="1" x14ac:dyDescent="0.3">
      <c r="A3" s="49"/>
      <c r="B3" s="50"/>
      <c r="C3" s="51"/>
      <c r="D3" s="3" t="s">
        <v>1</v>
      </c>
      <c r="E3" s="6" t="s">
        <v>62</v>
      </c>
      <c r="F3" s="6" t="s">
        <v>62</v>
      </c>
      <c r="I3" s="6" t="s">
        <v>62</v>
      </c>
      <c r="J3" s="6" t="s">
        <v>62</v>
      </c>
      <c r="M3" s="6" t="s">
        <v>62</v>
      </c>
      <c r="N3" s="6" t="s">
        <v>62</v>
      </c>
    </row>
    <row r="4" spans="1:21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39</v>
      </c>
      <c r="J4" s="72"/>
      <c r="K4" s="24"/>
      <c r="M4" s="55" t="s">
        <v>61</v>
      </c>
      <c r="N4" s="56"/>
      <c r="O4" s="24"/>
    </row>
    <row r="5" spans="1:21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1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11177944</v>
      </c>
      <c r="F6" s="28">
        <v>5305205.26</v>
      </c>
      <c r="G6" s="11">
        <f t="shared" ref="G6:G8" si="0">+IFERROR(F6/E6,0)</f>
        <v>0.47461369103298423</v>
      </c>
      <c r="H6" s="11"/>
      <c r="I6" s="25">
        <f>E6-M6</f>
        <v>639202</v>
      </c>
      <c r="J6" s="10">
        <f>F6-N6</f>
        <v>307387.49000000022</v>
      </c>
      <c r="K6" s="23">
        <f t="shared" ref="K6:K11" si="1">IFERROR(J6/I6,0)</f>
        <v>0.48089256604328556</v>
      </c>
      <c r="M6" s="29">
        <v>10538742</v>
      </c>
      <c r="N6" s="31">
        <v>4997817.7699999996</v>
      </c>
      <c r="O6" s="23">
        <f t="shared" ref="O6:O11" si="2">IFERROR(N6/M6,0)</f>
        <v>0.47423286099991818</v>
      </c>
      <c r="P6" s="39">
        <f>+K6-O6</f>
        <v>6.659705043367381E-3</v>
      </c>
      <c r="Q6" s="45">
        <f t="shared" ref="Q6:Q17" si="3">+M6*$M$4</f>
        <v>4997787.6186600002</v>
      </c>
      <c r="R6" s="21">
        <f>+N6-Q6</f>
        <v>30.151339999400079</v>
      </c>
      <c r="S6" s="45">
        <f>+I6*0.47423</f>
        <v>303128.76445999998</v>
      </c>
      <c r="T6" s="21">
        <f>-S6+J6</f>
        <v>4258.7255400002468</v>
      </c>
      <c r="U6" s="21">
        <f>+R6+T6</f>
        <v>4288.8768799996469</v>
      </c>
    </row>
    <row r="7" spans="1:21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104356</v>
      </c>
      <c r="F7" s="28">
        <v>49488.74</v>
      </c>
      <c r="G7" s="11">
        <f t="shared" si="0"/>
        <v>0.47422994365441373</v>
      </c>
      <c r="H7" s="11"/>
      <c r="I7" s="25">
        <f t="shared" ref="I7:J19" si="4">E7-M7</f>
        <v>0</v>
      </c>
      <c r="J7" s="10">
        <f t="shared" si="4"/>
        <v>0</v>
      </c>
      <c r="K7" s="23">
        <f t="shared" si="1"/>
        <v>0</v>
      </c>
      <c r="M7" s="29">
        <v>104356</v>
      </c>
      <c r="N7" s="31">
        <v>49488.74</v>
      </c>
      <c r="O7" s="23">
        <f t="shared" si="2"/>
        <v>0.47422994365441373</v>
      </c>
      <c r="P7" s="39">
        <f t="shared" ref="P7:P13" si="5">+K7-O7</f>
        <v>-0.47422994365441373</v>
      </c>
      <c r="Q7" s="45">
        <f t="shared" si="3"/>
        <v>49488.745879999995</v>
      </c>
      <c r="R7" s="21">
        <f t="shared" ref="R7:R19" si="6">+N7-Q7</f>
        <v>-5.8799999969778582E-3</v>
      </c>
      <c r="S7" s="45">
        <f t="shared" ref="S7:S19" si="7">+I7*0.47423</f>
        <v>0</v>
      </c>
      <c r="T7" s="21">
        <f t="shared" ref="T7:T19" si="8">-S7+J7</f>
        <v>0</v>
      </c>
      <c r="U7" s="21">
        <f t="shared" ref="U7:U19" si="9">+R7+T7</f>
        <v>-5.8799999969778582E-3</v>
      </c>
    </row>
    <row r="8" spans="1:21" ht="15.75" thickBot="1" x14ac:dyDescent="0.3">
      <c r="A8" s="4" t="s">
        <v>9</v>
      </c>
      <c r="B8" s="4" t="s">
        <v>9</v>
      </c>
      <c r="C8" s="4" t="s">
        <v>63</v>
      </c>
      <c r="D8" s="4" t="s">
        <v>64</v>
      </c>
      <c r="E8" s="29">
        <v>2</v>
      </c>
      <c r="F8" s="28">
        <v>0.95</v>
      </c>
      <c r="G8" s="11">
        <f t="shared" si="0"/>
        <v>0.47499999999999998</v>
      </c>
      <c r="H8" s="11"/>
      <c r="I8" s="25">
        <f t="shared" si="4"/>
        <v>0</v>
      </c>
      <c r="J8" s="10">
        <f t="shared" si="4"/>
        <v>0</v>
      </c>
      <c r="K8" s="23">
        <f t="shared" si="1"/>
        <v>0</v>
      </c>
      <c r="M8" s="29">
        <v>2</v>
      </c>
      <c r="N8" s="28">
        <v>0.95</v>
      </c>
      <c r="O8" s="23">
        <f t="shared" si="2"/>
        <v>0.47499999999999998</v>
      </c>
      <c r="P8" s="39"/>
      <c r="Q8" s="45">
        <f t="shared" si="3"/>
        <v>0.94845999999999997</v>
      </c>
      <c r="R8" s="21">
        <f t="shared" si="6"/>
        <v>1.5399999999999858E-3</v>
      </c>
      <c r="S8" s="45">
        <f t="shared" si="7"/>
        <v>0</v>
      </c>
      <c r="T8" s="21">
        <f t="shared" si="8"/>
        <v>0</v>
      </c>
      <c r="U8" s="21">
        <f t="shared" si="9"/>
        <v>1.5399999999999858E-3</v>
      </c>
    </row>
    <row r="9" spans="1:21" ht="15.75" thickBot="1" x14ac:dyDescent="0.3">
      <c r="A9" s="4" t="s">
        <v>9</v>
      </c>
      <c r="B9" s="4" t="s">
        <v>9</v>
      </c>
      <c r="C9" s="4" t="s">
        <v>14</v>
      </c>
      <c r="D9" s="4" t="s">
        <v>15</v>
      </c>
      <c r="E9" s="27">
        <v>0</v>
      </c>
      <c r="F9" s="28">
        <v>0</v>
      </c>
      <c r="G9" s="11">
        <f>+IFERROR(F9/E9,0)</f>
        <v>0</v>
      </c>
      <c r="H9" s="12"/>
      <c r="I9" s="25">
        <f t="shared" si="4"/>
        <v>0</v>
      </c>
      <c r="J9" s="10">
        <f t="shared" si="4"/>
        <v>0</v>
      </c>
      <c r="K9" s="23">
        <f t="shared" si="1"/>
        <v>0</v>
      </c>
      <c r="M9" s="27">
        <v>0</v>
      </c>
      <c r="N9" s="28">
        <v>0</v>
      </c>
      <c r="O9" s="23">
        <f t="shared" si="2"/>
        <v>0</v>
      </c>
      <c r="P9" s="39">
        <f t="shared" si="5"/>
        <v>0</v>
      </c>
      <c r="Q9" s="45">
        <f t="shared" si="3"/>
        <v>0</v>
      </c>
      <c r="R9" s="21">
        <f t="shared" si="6"/>
        <v>0</v>
      </c>
      <c r="S9" s="45">
        <f t="shared" si="7"/>
        <v>0</v>
      </c>
      <c r="T9" s="21">
        <f t="shared" si="8"/>
        <v>0</v>
      </c>
      <c r="U9" s="21">
        <f t="shared" si="9"/>
        <v>0</v>
      </c>
    </row>
    <row r="10" spans="1:21" ht="15.75" thickBot="1" x14ac:dyDescent="0.3">
      <c r="A10" s="4" t="s">
        <v>9</v>
      </c>
      <c r="B10" s="4" t="s">
        <v>9</v>
      </c>
      <c r="C10" s="4" t="s">
        <v>16</v>
      </c>
      <c r="D10" s="4" t="s">
        <v>17</v>
      </c>
      <c r="E10" s="29">
        <v>804262</v>
      </c>
      <c r="F10" s="28">
        <v>380961.15</v>
      </c>
      <c r="G10" s="11">
        <f t="shared" ref="G10:G19" si="10">+IFERROR(F10/E10,0)</f>
        <v>0.47367791838977846</v>
      </c>
      <c r="H10" s="11"/>
      <c r="I10" s="25">
        <f t="shared" si="4"/>
        <v>-1935</v>
      </c>
      <c r="J10" s="10">
        <f t="shared" si="4"/>
        <v>-1361.6900000000023</v>
      </c>
      <c r="K10" s="23">
        <f t="shared" si="1"/>
        <v>0.70371576227390298</v>
      </c>
      <c r="M10" s="29">
        <v>806197</v>
      </c>
      <c r="N10" s="31">
        <v>382322.84</v>
      </c>
      <c r="O10" s="23">
        <f t="shared" si="2"/>
        <v>0.47423004550996845</v>
      </c>
      <c r="P10" s="39">
        <f t="shared" si="5"/>
        <v>0.22948571676393453</v>
      </c>
      <c r="Q10" s="45">
        <f t="shared" si="3"/>
        <v>382322.80330999999</v>
      </c>
      <c r="R10" s="21">
        <f t="shared" si="6"/>
        <v>3.6690000037197024E-2</v>
      </c>
      <c r="S10" s="45">
        <f t="shared" si="7"/>
        <v>-917.63504999999998</v>
      </c>
      <c r="T10" s="21">
        <f t="shared" si="8"/>
        <v>-444.05495000000235</v>
      </c>
      <c r="U10" s="21">
        <f t="shared" si="9"/>
        <v>-444.01825999996515</v>
      </c>
    </row>
    <row r="11" spans="1:21" ht="15.75" thickBot="1" x14ac:dyDescent="0.3">
      <c r="A11" s="4" t="s">
        <v>9</v>
      </c>
      <c r="B11" s="4" t="s">
        <v>9</v>
      </c>
      <c r="C11" s="4" t="s">
        <v>18</v>
      </c>
      <c r="D11" s="4" t="s">
        <v>19</v>
      </c>
      <c r="E11" s="29">
        <v>189840</v>
      </c>
      <c r="F11" s="28">
        <v>90027.82</v>
      </c>
      <c r="G11" s="11">
        <f t="shared" si="10"/>
        <v>0.47422998314370002</v>
      </c>
      <c r="H11" s="11"/>
      <c r="I11" s="25">
        <f t="shared" si="4"/>
        <v>0</v>
      </c>
      <c r="J11" s="10">
        <f t="shared" si="4"/>
        <v>0</v>
      </c>
      <c r="K11" s="23">
        <f t="shared" si="1"/>
        <v>0</v>
      </c>
      <c r="M11" s="29">
        <v>189840</v>
      </c>
      <c r="N11" s="31">
        <v>90027.82</v>
      </c>
      <c r="O11" s="23">
        <f t="shared" si="2"/>
        <v>0.47422998314370002</v>
      </c>
      <c r="P11" s="39"/>
      <c r="Q11" s="45">
        <f t="shared" si="3"/>
        <v>90027.823199999999</v>
      </c>
      <c r="R11" s="21">
        <f t="shared" si="6"/>
        <v>-3.1999999919207767E-3</v>
      </c>
      <c r="S11" s="45">
        <f t="shared" si="7"/>
        <v>0</v>
      </c>
      <c r="T11" s="21">
        <f t="shared" si="8"/>
        <v>0</v>
      </c>
      <c r="U11" s="21">
        <f t="shared" si="9"/>
        <v>-3.1999999919207767E-3</v>
      </c>
    </row>
    <row r="12" spans="1:21" ht="15.75" thickBot="1" x14ac:dyDescent="0.3">
      <c r="A12" s="4" t="s">
        <v>9</v>
      </c>
      <c r="B12" s="4" t="s">
        <v>9</v>
      </c>
      <c r="C12" s="4" t="s">
        <v>20</v>
      </c>
      <c r="D12" s="4" t="s">
        <v>21</v>
      </c>
      <c r="E12" s="35">
        <v>27451</v>
      </c>
      <c r="F12" s="28">
        <v>13018.08</v>
      </c>
      <c r="G12" s="11">
        <f t="shared" si="10"/>
        <v>0.47422971840734401</v>
      </c>
      <c r="H12" s="12"/>
      <c r="I12" s="25">
        <f t="shared" si="4"/>
        <v>0</v>
      </c>
      <c r="J12" s="10">
        <f t="shared" si="4"/>
        <v>0</v>
      </c>
      <c r="K12" s="23">
        <f>IFERROR(J12/I12,0)</f>
        <v>0</v>
      </c>
      <c r="M12" s="35">
        <v>27451</v>
      </c>
      <c r="N12" s="28">
        <v>13018.08</v>
      </c>
      <c r="O12" s="23">
        <f>IFERROR(N12/M12,0)</f>
        <v>0.47422971840734401</v>
      </c>
      <c r="P12" s="39"/>
      <c r="Q12" s="45">
        <f t="shared" si="3"/>
        <v>13018.087729999999</v>
      </c>
      <c r="R12" s="21">
        <f t="shared" si="6"/>
        <v>-7.7299999993556412E-3</v>
      </c>
      <c r="S12" s="45">
        <f t="shared" si="7"/>
        <v>0</v>
      </c>
      <c r="T12" s="21">
        <f t="shared" si="8"/>
        <v>0</v>
      </c>
      <c r="U12" s="21">
        <f t="shared" si="9"/>
        <v>-7.7299999993556412E-3</v>
      </c>
    </row>
    <row r="13" spans="1:21" ht="15.75" thickBot="1" x14ac:dyDescent="0.3">
      <c r="A13" s="4" t="s">
        <v>9</v>
      </c>
      <c r="B13" s="4" t="s">
        <v>9</v>
      </c>
      <c r="C13" s="4" t="s">
        <v>22</v>
      </c>
      <c r="D13" s="4" t="s">
        <v>23</v>
      </c>
      <c r="E13" s="36">
        <v>574372</v>
      </c>
      <c r="F13" s="37">
        <v>272384.43</v>
      </c>
      <c r="G13" s="11">
        <f t="shared" si="10"/>
        <v>0.47422999380192626</v>
      </c>
      <c r="H13" s="11"/>
      <c r="I13" s="25">
        <f t="shared" si="4"/>
        <v>0</v>
      </c>
      <c r="J13" s="10">
        <f t="shared" si="4"/>
        <v>0</v>
      </c>
      <c r="K13" s="23">
        <f t="shared" ref="K13:K19" si="11">IFERROR(J13/I13,0)</f>
        <v>0</v>
      </c>
      <c r="M13" s="29">
        <v>574372</v>
      </c>
      <c r="N13" s="31">
        <v>272384.43</v>
      </c>
      <c r="O13" s="23">
        <f t="shared" ref="O13:O19" si="12">IFERROR(N13/M13,0)</f>
        <v>0.47422999380192626</v>
      </c>
      <c r="P13" s="39">
        <f t="shared" si="5"/>
        <v>-0.47422999380192626</v>
      </c>
      <c r="Q13" s="45">
        <f t="shared" si="3"/>
        <v>272384.43355999998</v>
      </c>
      <c r="R13" s="21">
        <f t="shared" si="6"/>
        <v>-3.5599999828264117E-3</v>
      </c>
      <c r="S13" s="45">
        <f t="shared" si="7"/>
        <v>0</v>
      </c>
      <c r="T13" s="21">
        <f t="shared" si="8"/>
        <v>0</v>
      </c>
      <c r="U13" s="21">
        <f t="shared" si="9"/>
        <v>-3.5599999828264117E-3</v>
      </c>
    </row>
    <row r="14" spans="1:21" ht="15.75" thickBot="1" x14ac:dyDescent="0.3">
      <c r="A14" s="4" t="s">
        <v>9</v>
      </c>
      <c r="B14" s="4" t="s">
        <v>9</v>
      </c>
      <c r="C14" s="4" t="s">
        <v>24</v>
      </c>
      <c r="D14" s="4" t="s">
        <v>25</v>
      </c>
      <c r="E14" s="29">
        <v>22365514</v>
      </c>
      <c r="F14" s="28">
        <v>10606677.720000001</v>
      </c>
      <c r="G14" s="11">
        <f t="shared" si="10"/>
        <v>0.47424251997964367</v>
      </c>
      <c r="H14" s="11"/>
      <c r="I14" s="25">
        <f t="shared" si="4"/>
        <v>11727</v>
      </c>
      <c r="J14" s="10">
        <f t="shared" si="4"/>
        <v>5534.980000000447</v>
      </c>
      <c r="K14" s="23">
        <f t="shared" si="11"/>
        <v>0.47198601517868566</v>
      </c>
      <c r="M14" s="29">
        <v>22353787</v>
      </c>
      <c r="N14" s="31">
        <v>10601142.74</v>
      </c>
      <c r="O14" s="23">
        <f t="shared" si="12"/>
        <v>0.4742437037625884</v>
      </c>
      <c r="P14" s="39"/>
      <c r="Q14" s="45">
        <f t="shared" si="3"/>
        <v>10600836.409010001</v>
      </c>
      <c r="R14" s="21">
        <f t="shared" si="6"/>
        <v>306.33098999969661</v>
      </c>
      <c r="S14" s="45">
        <f t="shared" si="7"/>
        <v>5561.2952100000002</v>
      </c>
      <c r="T14" s="21">
        <f t="shared" si="8"/>
        <v>-26.31520999955319</v>
      </c>
      <c r="U14" s="21">
        <f t="shared" si="9"/>
        <v>280.01578000014342</v>
      </c>
    </row>
    <row r="15" spans="1:21" ht="15.75" thickBot="1" x14ac:dyDescent="0.3">
      <c r="A15" s="4" t="s">
        <v>9</v>
      </c>
      <c r="B15" s="4" t="s">
        <v>9</v>
      </c>
      <c r="C15" s="4" t="s">
        <v>26</v>
      </c>
      <c r="D15" s="4" t="s">
        <v>27</v>
      </c>
      <c r="E15" s="36">
        <v>0</v>
      </c>
      <c r="F15" s="37">
        <v>0</v>
      </c>
      <c r="G15" s="11">
        <f t="shared" si="10"/>
        <v>0</v>
      </c>
      <c r="H15" s="11"/>
      <c r="I15" s="25">
        <f t="shared" si="4"/>
        <v>0</v>
      </c>
      <c r="J15" s="10">
        <f t="shared" si="4"/>
        <v>0</v>
      </c>
      <c r="K15" s="23">
        <f t="shared" si="11"/>
        <v>0</v>
      </c>
      <c r="M15" s="27">
        <v>0</v>
      </c>
      <c r="N15" s="31">
        <v>0</v>
      </c>
      <c r="O15" s="23">
        <f t="shared" si="12"/>
        <v>0</v>
      </c>
      <c r="P15" s="39"/>
      <c r="Q15" s="45">
        <f t="shared" si="3"/>
        <v>0</v>
      </c>
      <c r="R15" s="21">
        <f t="shared" si="6"/>
        <v>0</v>
      </c>
      <c r="S15" s="45">
        <f t="shared" si="7"/>
        <v>0</v>
      </c>
      <c r="T15" s="21">
        <f t="shared" si="8"/>
        <v>0</v>
      </c>
      <c r="U15" s="21">
        <f t="shared" si="9"/>
        <v>0</v>
      </c>
    </row>
    <row r="16" spans="1:21" ht="15.75" thickBot="1" x14ac:dyDescent="0.3">
      <c r="A16" s="4" t="s">
        <v>9</v>
      </c>
      <c r="B16" s="4" t="s">
        <v>9</v>
      </c>
      <c r="C16" s="4" t="s">
        <v>28</v>
      </c>
      <c r="D16" s="4" t="s">
        <v>29</v>
      </c>
      <c r="E16" s="29">
        <v>1566</v>
      </c>
      <c r="F16" s="28">
        <v>742.65</v>
      </c>
      <c r="G16" s="11">
        <f t="shared" si="10"/>
        <v>0.47423371647509577</v>
      </c>
      <c r="H16" s="11"/>
      <c r="I16" s="25">
        <f t="shared" si="4"/>
        <v>0</v>
      </c>
      <c r="J16" s="10">
        <f t="shared" si="4"/>
        <v>0</v>
      </c>
      <c r="K16" s="23">
        <f t="shared" si="11"/>
        <v>0</v>
      </c>
      <c r="M16" s="29">
        <v>1566</v>
      </c>
      <c r="N16" s="31">
        <v>742.65</v>
      </c>
      <c r="O16" s="23">
        <f t="shared" si="12"/>
        <v>0.47423371647509577</v>
      </c>
      <c r="P16" s="39"/>
      <c r="Q16" s="45">
        <f t="shared" si="3"/>
        <v>742.64418000000001</v>
      </c>
      <c r="R16" s="21">
        <f t="shared" si="6"/>
        <v>5.8199999999715146E-3</v>
      </c>
      <c r="S16" s="45">
        <f t="shared" si="7"/>
        <v>0</v>
      </c>
      <c r="T16" s="21">
        <f t="shared" si="8"/>
        <v>0</v>
      </c>
      <c r="U16" s="21">
        <f t="shared" si="9"/>
        <v>5.8199999999715146E-3</v>
      </c>
    </row>
    <row r="17" spans="1:21" ht="15.75" thickBot="1" x14ac:dyDescent="0.3">
      <c r="A17" s="4" t="s">
        <v>9</v>
      </c>
      <c r="B17" s="4" t="s">
        <v>9</v>
      </c>
      <c r="C17" s="4" t="s">
        <v>30</v>
      </c>
      <c r="D17" s="4" t="s">
        <v>31</v>
      </c>
      <c r="E17" s="36">
        <v>32</v>
      </c>
      <c r="F17" s="37">
        <v>15.18</v>
      </c>
      <c r="G17" s="11">
        <f t="shared" si="10"/>
        <v>0.47437499999999999</v>
      </c>
      <c r="H17" s="11"/>
      <c r="I17" s="25">
        <f t="shared" si="4"/>
        <v>0</v>
      </c>
      <c r="J17" s="10">
        <f t="shared" si="4"/>
        <v>0</v>
      </c>
      <c r="K17" s="23">
        <f t="shared" si="11"/>
        <v>0</v>
      </c>
      <c r="M17" s="29">
        <v>32</v>
      </c>
      <c r="N17" s="31">
        <v>15.18</v>
      </c>
      <c r="O17" s="23">
        <f t="shared" si="12"/>
        <v>0.47437499999999999</v>
      </c>
      <c r="P17" s="39"/>
      <c r="Q17" s="45">
        <f t="shared" si="3"/>
        <v>15.17536</v>
      </c>
      <c r="R17" s="21">
        <f t="shared" si="6"/>
        <v>4.6400000000001995E-3</v>
      </c>
      <c r="S17" s="45">
        <f t="shared" si="7"/>
        <v>0</v>
      </c>
      <c r="T17" s="21">
        <f t="shared" si="8"/>
        <v>0</v>
      </c>
      <c r="U17" s="21">
        <f t="shared" si="9"/>
        <v>4.6400000000001995E-3</v>
      </c>
    </row>
    <row r="18" spans="1:21" ht="15.75" thickBot="1" x14ac:dyDescent="0.3">
      <c r="A18" s="4" t="s">
        <v>9</v>
      </c>
      <c r="B18" s="4" t="s">
        <v>9</v>
      </c>
      <c r="C18" s="4" t="s">
        <v>32</v>
      </c>
      <c r="D18" s="4" t="s">
        <v>33</v>
      </c>
      <c r="E18" s="29">
        <v>358</v>
      </c>
      <c r="F18" s="28">
        <v>169.78</v>
      </c>
      <c r="G18" s="11">
        <f t="shared" si="10"/>
        <v>0.47424581005586591</v>
      </c>
      <c r="H18" s="11"/>
      <c r="I18" s="25">
        <f t="shared" si="4"/>
        <v>0</v>
      </c>
      <c r="J18" s="10">
        <f t="shared" si="4"/>
        <v>0</v>
      </c>
      <c r="K18" s="23">
        <f t="shared" si="11"/>
        <v>0</v>
      </c>
      <c r="M18" s="29">
        <v>358</v>
      </c>
      <c r="N18" s="31">
        <v>169.78</v>
      </c>
      <c r="O18" s="23">
        <f t="shared" si="12"/>
        <v>0.47424581005586591</v>
      </c>
      <c r="P18" s="39"/>
      <c r="Q18" s="45">
        <f>+M18*$M$4</f>
        <v>169.77434</v>
      </c>
      <c r="R18" s="21">
        <f t="shared" si="6"/>
        <v>5.6600000000059936E-3</v>
      </c>
      <c r="S18" s="45">
        <f t="shared" si="7"/>
        <v>0</v>
      </c>
      <c r="T18" s="21">
        <f t="shared" si="8"/>
        <v>0</v>
      </c>
      <c r="U18" s="21">
        <f t="shared" si="9"/>
        <v>5.6600000000059936E-3</v>
      </c>
    </row>
    <row r="19" spans="1:21" ht="15.75" thickBot="1" x14ac:dyDescent="0.3">
      <c r="A19" s="4" t="s">
        <v>9</v>
      </c>
      <c r="B19" s="4" t="s">
        <v>9</v>
      </c>
      <c r="C19" s="4" t="s">
        <v>34</v>
      </c>
      <c r="D19" s="4" t="s">
        <v>35</v>
      </c>
      <c r="E19" s="36">
        <v>613</v>
      </c>
      <c r="F19" s="37">
        <v>288.2</v>
      </c>
      <c r="G19" s="11">
        <f t="shared" si="10"/>
        <v>0.47014681892332788</v>
      </c>
      <c r="H19" s="11"/>
      <c r="I19" s="25">
        <f t="shared" si="4"/>
        <v>0</v>
      </c>
      <c r="J19" s="10">
        <f t="shared" si="4"/>
        <v>0</v>
      </c>
      <c r="K19" s="23">
        <f t="shared" si="11"/>
        <v>0</v>
      </c>
      <c r="M19" s="29">
        <v>613</v>
      </c>
      <c r="N19" s="31">
        <v>288.2</v>
      </c>
      <c r="O19" s="23">
        <f t="shared" si="12"/>
        <v>0.47014681892332788</v>
      </c>
      <c r="P19" s="15"/>
      <c r="Q19" s="45">
        <f>+M19*$M$4</f>
        <v>290.70299</v>
      </c>
      <c r="R19" s="21">
        <f t="shared" si="6"/>
        <v>-2.5029900000000112</v>
      </c>
      <c r="S19" s="45">
        <f t="shared" si="7"/>
        <v>0</v>
      </c>
      <c r="T19" s="21">
        <f t="shared" si="8"/>
        <v>0</v>
      </c>
      <c r="U19" s="21">
        <f t="shared" si="9"/>
        <v>-2.5029900000000112</v>
      </c>
    </row>
    <row r="20" spans="1:21" ht="15.75" thickBot="1" x14ac:dyDescent="0.3">
      <c r="A20" s="46" t="s">
        <v>2</v>
      </c>
      <c r="B20" s="47"/>
      <c r="C20" s="47"/>
      <c r="D20" s="48"/>
      <c r="E20" s="7">
        <f>SUM(E6:E19)</f>
        <v>35246310</v>
      </c>
      <c r="F20" s="9">
        <f>SUM(F6:F19)</f>
        <v>16718979.960000001</v>
      </c>
      <c r="I20" s="26">
        <f>SUM(I6:I19)</f>
        <v>648994</v>
      </c>
      <c r="J20" s="9">
        <f>SUM(J6:J19)</f>
        <v>311560.78000000067</v>
      </c>
      <c r="M20" s="7">
        <f>SUM(M6:M19)</f>
        <v>34597316</v>
      </c>
      <c r="N20" s="9">
        <f>SUM(N6:N19)</f>
        <v>16407419.18</v>
      </c>
      <c r="R20" s="21">
        <f>SUM(R6:R19)</f>
        <v>334.01331999916277</v>
      </c>
    </row>
    <row r="21" spans="1:21" x14ac:dyDescent="0.25">
      <c r="F21" s="42">
        <f>+F20-F13</f>
        <v>16446595.530000001</v>
      </c>
    </row>
    <row r="22" spans="1:21" x14ac:dyDescent="0.25">
      <c r="F22" s="42">
        <v>16442472</v>
      </c>
      <c r="G22" s="42">
        <f>+F21-F22</f>
        <v>4123.5300000011921</v>
      </c>
    </row>
    <row r="23" spans="1:21" x14ac:dyDescent="0.25">
      <c r="O23" s="43"/>
      <c r="P23" s="38"/>
    </row>
    <row r="24" spans="1:21" x14ac:dyDescent="0.25">
      <c r="G24" s="40" t="s">
        <v>54</v>
      </c>
      <c r="H24" s="40"/>
      <c r="I24" s="40"/>
      <c r="J24" s="41">
        <f>+J14+J15+J16+J17</f>
        <v>5534.980000000447</v>
      </c>
      <c r="K24" s="40"/>
      <c r="L24" s="40"/>
      <c r="M24" s="40"/>
      <c r="N24" s="41">
        <f>+N14+N15+N16+N17</f>
        <v>10601900.57</v>
      </c>
      <c r="O24" s="41">
        <f>+N24+J24</f>
        <v>10607435.550000001</v>
      </c>
      <c r="P24" s="40"/>
      <c r="Q24" s="40" t="s">
        <v>54</v>
      </c>
      <c r="R24" s="41">
        <f>+R14+R15+R16+R17</f>
        <v>306.34144999969658</v>
      </c>
      <c r="S24" s="15"/>
      <c r="T24" s="15"/>
      <c r="U24" s="41">
        <f>+U14+U15+U16+U17</f>
        <v>280.02624000014339</v>
      </c>
    </row>
    <row r="25" spans="1:21" x14ac:dyDescent="0.25">
      <c r="G25" s="40" t="s">
        <v>55</v>
      </c>
      <c r="H25" s="40"/>
      <c r="I25" s="40"/>
      <c r="J25" s="41">
        <f>+J6+J19+J18+J9</f>
        <v>307387.49000000022</v>
      </c>
      <c r="K25" s="40"/>
      <c r="L25" s="40"/>
      <c r="M25" s="40"/>
      <c r="N25" s="41">
        <f>+N6+N19+N18+N9</f>
        <v>4998275.75</v>
      </c>
      <c r="O25" s="41">
        <f t="shared" ref="O25:O29" si="13">+N25+J25</f>
        <v>5305663.24</v>
      </c>
      <c r="P25" s="40"/>
      <c r="Q25" s="40" t="s">
        <v>55</v>
      </c>
      <c r="R25" s="41">
        <f>+R6+R19+R18+R9</f>
        <v>27.654009999400074</v>
      </c>
      <c r="S25" s="15"/>
      <c r="T25" s="15"/>
      <c r="U25" s="41">
        <f>+U6+U19+U18+U9</f>
        <v>4286.3795499996468</v>
      </c>
    </row>
    <row r="26" spans="1:21" x14ac:dyDescent="0.25">
      <c r="G26" s="40" t="s">
        <v>56</v>
      </c>
      <c r="H26" s="40"/>
      <c r="I26" s="40"/>
      <c r="J26" s="41">
        <f>+J10+J12</f>
        <v>-1361.6900000000023</v>
      </c>
      <c r="K26" s="40"/>
      <c r="L26" s="40"/>
      <c r="M26" s="40"/>
      <c r="N26" s="41">
        <f>+N10+N12</f>
        <v>395340.92000000004</v>
      </c>
      <c r="O26" s="41">
        <f t="shared" si="13"/>
        <v>393979.23000000004</v>
      </c>
      <c r="P26" s="40"/>
      <c r="Q26" s="40" t="s">
        <v>56</v>
      </c>
      <c r="R26" s="41">
        <f>+R10+R12</f>
        <v>2.8960000037841382E-2</v>
      </c>
      <c r="S26" s="15"/>
      <c r="T26" s="15"/>
      <c r="U26" s="41">
        <f>+U10+U12</f>
        <v>-444.02598999996451</v>
      </c>
    </row>
    <row r="27" spans="1:21" x14ac:dyDescent="0.25">
      <c r="G27" s="40" t="s">
        <v>57</v>
      </c>
      <c r="H27" s="40"/>
      <c r="I27" s="40"/>
      <c r="J27" s="41">
        <f>+J7+J11</f>
        <v>0</v>
      </c>
      <c r="K27" s="40"/>
      <c r="L27" s="40"/>
      <c r="M27" s="40"/>
      <c r="N27" s="41">
        <f>+N7+N11</f>
        <v>139516.56</v>
      </c>
      <c r="O27" s="41">
        <f t="shared" si="13"/>
        <v>139516.56</v>
      </c>
      <c r="P27" s="40"/>
      <c r="Q27" s="40" t="s">
        <v>57</v>
      </c>
      <c r="R27" s="41">
        <f>+R7+R11</f>
        <v>-9.0799999888986349E-3</v>
      </c>
      <c r="S27" s="15"/>
      <c r="T27" s="15"/>
      <c r="U27" s="41">
        <f>+U7+U11</f>
        <v>-9.0799999888986349E-3</v>
      </c>
    </row>
    <row r="28" spans="1:21" x14ac:dyDescent="0.25">
      <c r="G28" s="40" t="s">
        <v>58</v>
      </c>
      <c r="H28" s="40"/>
      <c r="I28" s="40"/>
      <c r="J28" s="41">
        <f>+J13</f>
        <v>0</v>
      </c>
      <c r="K28" s="40"/>
      <c r="L28" s="40"/>
      <c r="M28" s="40"/>
      <c r="N28" s="41">
        <f>+N13</f>
        <v>272384.43</v>
      </c>
      <c r="O28" s="41">
        <f t="shared" si="13"/>
        <v>272384.43</v>
      </c>
      <c r="P28" s="40"/>
      <c r="Q28" s="40" t="s">
        <v>58</v>
      </c>
      <c r="R28" s="41">
        <f>+R13</f>
        <v>-3.5599999828264117E-3</v>
      </c>
      <c r="S28" s="15"/>
      <c r="T28" s="15"/>
      <c r="U28" s="41">
        <f>+U13</f>
        <v>-3.5599999828264117E-3</v>
      </c>
    </row>
    <row r="29" spans="1:21" x14ac:dyDescent="0.25">
      <c r="G29" s="40" t="s">
        <v>65</v>
      </c>
      <c r="H29" s="40"/>
      <c r="I29" s="40"/>
      <c r="J29" s="41">
        <f>+J8</f>
        <v>0</v>
      </c>
      <c r="K29" s="40"/>
      <c r="L29" s="40"/>
      <c r="M29" s="40"/>
      <c r="N29" s="41">
        <f>+N8</f>
        <v>0.95</v>
      </c>
      <c r="O29" s="41">
        <f t="shared" si="13"/>
        <v>0.95</v>
      </c>
      <c r="P29" s="41"/>
      <c r="Q29" s="40" t="s">
        <v>65</v>
      </c>
      <c r="R29" s="41">
        <f>+R8</f>
        <v>1.5399999999999858E-3</v>
      </c>
      <c r="S29" s="15"/>
      <c r="T29" s="15"/>
      <c r="U29" s="41">
        <f>+U8</f>
        <v>1.5399999999999858E-3</v>
      </c>
    </row>
    <row r="30" spans="1:21" x14ac:dyDescent="0.25">
      <c r="O30" s="41">
        <f>SUM(O24:O29)</f>
        <v>16718979.960000001</v>
      </c>
      <c r="P30" s="41">
        <f>+O30-F20</f>
        <v>0</v>
      </c>
    </row>
  </sheetData>
  <mergeCells count="5">
    <mergeCell ref="A1:C1"/>
    <mergeCell ref="A3:C4"/>
    <mergeCell ref="I4:J4"/>
    <mergeCell ref="M4:N4"/>
    <mergeCell ref="A20:D20"/>
  </mergeCells>
  <pageMargins left="0.75" right="0.75" top="1" bottom="1" header="0.5" footer="0.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34"/>
  <sheetViews>
    <sheetView showGridLines="0" zoomScaleNormal="100" workbookViewId="0">
      <selection activeCell="C27" sqref="C27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2.5703125" bestFit="1" customWidth="1"/>
    <col min="7" max="7" width="8.140625" bestFit="1" customWidth="1"/>
    <col min="8" max="8" width="2.5703125" customWidth="1"/>
    <col min="9" max="9" width="8.7109375" bestFit="1" customWidth="1"/>
    <col min="10" max="10" width="13.5703125" bestFit="1" customWidth="1"/>
    <col min="11" max="11" width="7.28515625" style="15" bestFit="1" customWidth="1"/>
    <col min="12" max="12" width="2.7109375" customWidth="1"/>
    <col min="13" max="13" width="8.28515625" bestFit="1" customWidth="1"/>
    <col min="14" max="14" width="14.140625" bestFit="1" customWidth="1"/>
    <col min="15" max="15" width="13.5703125" style="15" bestFit="1" customWidth="1"/>
    <col min="16" max="16" width="8.85546875" bestFit="1" customWidth="1"/>
    <col min="17" max="17" width="13.85546875" bestFit="1" customWidth="1"/>
    <col min="18" max="18" width="10.140625" bestFit="1" customWidth="1"/>
    <col min="19" max="19" width="13.85546875" bestFit="1" customWidth="1"/>
    <col min="20" max="21" width="14" bestFit="1" customWidth="1"/>
  </cols>
  <sheetData>
    <row r="1" spans="1:22" ht="15.75" x14ac:dyDescent="0.25">
      <c r="A1" s="57" t="s">
        <v>38</v>
      </c>
      <c r="B1" s="57"/>
      <c r="C1" s="57"/>
    </row>
    <row r="2" spans="1:22" ht="15.75" thickBot="1" x14ac:dyDescent="0.3">
      <c r="A2" s="1"/>
    </row>
    <row r="3" spans="1:22" ht="15.75" thickBot="1" x14ac:dyDescent="0.3">
      <c r="A3" s="49"/>
      <c r="B3" s="50"/>
      <c r="C3" s="51"/>
      <c r="D3" s="3" t="s">
        <v>1</v>
      </c>
      <c r="E3" s="6" t="s">
        <v>42</v>
      </c>
      <c r="F3" s="6" t="s">
        <v>42</v>
      </c>
      <c r="I3" s="6" t="s">
        <v>42</v>
      </c>
      <c r="J3" s="6" t="s">
        <v>42</v>
      </c>
      <c r="M3" s="6" t="s">
        <v>42</v>
      </c>
      <c r="N3" s="6" t="s">
        <v>42</v>
      </c>
    </row>
    <row r="4" spans="1:22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41</v>
      </c>
      <c r="J4" s="72"/>
      <c r="K4" s="24"/>
      <c r="M4" s="55" t="s">
        <v>40</v>
      </c>
      <c r="N4" s="56"/>
      <c r="O4" s="24"/>
    </row>
    <row r="5" spans="1:22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2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4787446</v>
      </c>
      <c r="F6" s="31">
        <v>2596592.66</v>
      </c>
      <c r="G6" s="11">
        <f>+F6/E6</f>
        <v>0.54237534167487222</v>
      </c>
      <c r="H6" s="11"/>
      <c r="I6" s="25">
        <f>E6-M6</f>
        <v>2667337</v>
      </c>
      <c r="J6" s="10">
        <f>F6-N6</f>
        <v>1406319.61</v>
      </c>
      <c r="K6" s="23">
        <f t="shared" ref="K6:K10" si="0">IFERROR(J6/I6,0)</f>
        <v>0.52723731946881858</v>
      </c>
      <c r="M6" s="29">
        <f>2120083+26</f>
        <v>2120109</v>
      </c>
      <c r="N6" s="31">
        <f>1190259.05+14</f>
        <v>1190273.05</v>
      </c>
      <c r="O6" s="23">
        <f t="shared" ref="O6:O10" si="1">IFERROR(N6/M6,0)</f>
        <v>0.56142068638923759</v>
      </c>
      <c r="P6" s="39">
        <f>+K6-O6</f>
        <v>-3.4183366920419012E-2</v>
      </c>
      <c r="Q6" s="45">
        <f t="shared" ref="Q6:Q17" si="2">+M6*$M$4</f>
        <v>1190292.79587</v>
      </c>
      <c r="R6" s="21">
        <f>+N6-Q6</f>
        <v>-19.745869999984279</v>
      </c>
      <c r="S6" s="45">
        <f>+I6*$M$4</f>
        <v>1497523.0119099999</v>
      </c>
      <c r="T6" s="21">
        <f>-S6+J6</f>
        <v>-91203.401909999782</v>
      </c>
      <c r="U6" s="21">
        <f>+R6+T6</f>
        <v>-91223.147779999766</v>
      </c>
      <c r="V6" s="15"/>
    </row>
    <row r="7" spans="1:22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29527</v>
      </c>
      <c r="F7" s="31">
        <v>15893.22</v>
      </c>
      <c r="G7" s="11">
        <f t="shared" ref="G7:G18" si="3">+F7/E7</f>
        <v>0.53826057506688796</v>
      </c>
      <c r="H7" s="11"/>
      <c r="I7" s="25">
        <f t="shared" ref="I7:J18" si="4">E7-M7</f>
        <v>19986</v>
      </c>
      <c r="J7" s="10">
        <f t="shared" si="4"/>
        <v>10536.61</v>
      </c>
      <c r="K7" s="23">
        <f t="shared" si="0"/>
        <v>0.52719953967777444</v>
      </c>
      <c r="M7" s="29">
        <v>9541</v>
      </c>
      <c r="N7" s="31">
        <v>5356.61</v>
      </c>
      <c r="O7" s="23">
        <f t="shared" si="1"/>
        <v>0.5614306676449009</v>
      </c>
      <c r="P7" s="39">
        <f t="shared" ref="P7:P13" si="5">+K7-O7</f>
        <v>-3.4231127967126462E-2</v>
      </c>
      <c r="Q7" s="45">
        <f t="shared" si="2"/>
        <v>5356.6036299999996</v>
      </c>
      <c r="R7" s="21">
        <f t="shared" ref="R7:R18" si="6">+N7-Q7</f>
        <v>6.370000000060827E-3</v>
      </c>
      <c r="S7" s="45">
        <f t="shared" ref="S7:S18" si="7">+I7*$M$4</f>
        <v>11220.73998</v>
      </c>
      <c r="T7" s="21">
        <f t="shared" ref="T7:T18" si="8">-S7+J7</f>
        <v>-684.1299799999997</v>
      </c>
      <c r="U7" s="21">
        <f t="shared" ref="U7:U18" si="9">+R7+T7</f>
        <v>-684.12360999999964</v>
      </c>
      <c r="V7" s="15"/>
    </row>
    <row r="8" spans="1:22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29">
        <v>2339</v>
      </c>
      <c r="F8" s="31">
        <v>1266.25</v>
      </c>
      <c r="G8" s="12">
        <f t="shared" si="3"/>
        <v>0.54136383069687899</v>
      </c>
      <c r="H8" s="12"/>
      <c r="I8" s="25">
        <f t="shared" si="4"/>
        <v>1371</v>
      </c>
      <c r="J8" s="10">
        <f t="shared" si="4"/>
        <v>722.79</v>
      </c>
      <c r="K8" s="23">
        <f t="shared" si="0"/>
        <v>0.52719912472647701</v>
      </c>
      <c r="M8" s="29">
        <v>968</v>
      </c>
      <c r="N8" s="31">
        <v>543.46</v>
      </c>
      <c r="O8" s="23">
        <f t="shared" si="1"/>
        <v>0.56142561983471073</v>
      </c>
      <c r="P8" s="39"/>
      <c r="Q8" s="45">
        <f t="shared" si="2"/>
        <v>543.46424000000002</v>
      </c>
      <c r="R8" s="21">
        <f t="shared" si="6"/>
        <v>-4.2399999999815918E-3</v>
      </c>
      <c r="S8" s="45">
        <f t="shared" si="7"/>
        <v>769.72052999999994</v>
      </c>
      <c r="T8" s="21">
        <f t="shared" si="8"/>
        <v>-46.930529999999976</v>
      </c>
      <c r="U8" s="21">
        <f t="shared" si="9"/>
        <v>-46.934769999999958</v>
      </c>
      <c r="V8" s="15"/>
    </row>
    <row r="9" spans="1:22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480456</v>
      </c>
      <c r="F9" s="31">
        <v>262612.51</v>
      </c>
      <c r="G9" s="11">
        <f t="shared" si="3"/>
        <v>0.54659013520488875</v>
      </c>
      <c r="H9" s="11"/>
      <c r="I9" s="25">
        <f t="shared" si="4"/>
        <v>208290</v>
      </c>
      <c r="J9" s="10">
        <f t="shared" si="4"/>
        <v>109810.56</v>
      </c>
      <c r="K9" s="23">
        <f t="shared" si="0"/>
        <v>0.52720034567189977</v>
      </c>
      <c r="M9" s="29">
        <v>272166</v>
      </c>
      <c r="N9" s="31">
        <v>152801.95000000001</v>
      </c>
      <c r="O9" s="23">
        <f t="shared" si="1"/>
        <v>0.56142923803855005</v>
      </c>
      <c r="P9" s="39">
        <f t="shared" si="5"/>
        <v>-3.4228892366650276E-2</v>
      </c>
      <c r="Q9" s="45">
        <f t="shared" si="2"/>
        <v>152802.15737999999</v>
      </c>
      <c r="R9" s="21">
        <f t="shared" si="6"/>
        <v>-0.20737999997800216</v>
      </c>
      <c r="S9" s="45">
        <f t="shared" si="7"/>
        <v>116940.25469999999</v>
      </c>
      <c r="T9" s="21">
        <f t="shared" si="8"/>
        <v>-7129.6946999999927</v>
      </c>
      <c r="U9" s="21">
        <f t="shared" si="9"/>
        <v>-7129.9020799999707</v>
      </c>
      <c r="V9" s="15"/>
    </row>
    <row r="10" spans="1:22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217562</v>
      </c>
      <c r="F10" s="31">
        <v>119876.36</v>
      </c>
      <c r="G10" s="11">
        <f t="shared" si="3"/>
        <v>0.55099861188994403</v>
      </c>
      <c r="H10" s="11"/>
      <c r="I10" s="25">
        <f t="shared" si="4"/>
        <v>66330</v>
      </c>
      <c r="J10" s="10">
        <f t="shared" si="4"/>
        <v>34970.180000000008</v>
      </c>
      <c r="K10" s="23">
        <f t="shared" si="0"/>
        <v>0.52721513643901718</v>
      </c>
      <c r="M10" s="29">
        <v>151232</v>
      </c>
      <c r="N10" s="31">
        <v>84906.18</v>
      </c>
      <c r="O10" s="23">
        <f t="shared" si="1"/>
        <v>0.56142998836225133</v>
      </c>
      <c r="P10" s="39">
        <f t="shared" si="5"/>
        <v>-3.4214851923234146E-2</v>
      </c>
      <c r="Q10" s="45">
        <f t="shared" si="2"/>
        <v>84906.181759999992</v>
      </c>
      <c r="R10" s="21">
        <f t="shared" si="6"/>
        <v>-1.759999999194406E-3</v>
      </c>
      <c r="S10" s="45">
        <f t="shared" si="7"/>
        <v>37239.651899999997</v>
      </c>
      <c r="T10" s="21">
        <f t="shared" si="8"/>
        <v>-2269.4718999999895</v>
      </c>
      <c r="U10" s="21">
        <f t="shared" si="9"/>
        <v>-2269.4736599999887</v>
      </c>
      <c r="V10" s="15"/>
    </row>
    <row r="11" spans="1:22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2633</v>
      </c>
      <c r="F11" s="31">
        <v>1469.45</v>
      </c>
      <c r="G11" s="12">
        <f t="shared" si="3"/>
        <v>0.55808963159893654</v>
      </c>
      <c r="H11" s="12"/>
      <c r="I11" s="25">
        <f t="shared" si="4"/>
        <v>257</v>
      </c>
      <c r="J11" s="10">
        <f t="shared" si="4"/>
        <v>135.49</v>
      </c>
      <c r="K11" s="23">
        <f>IFERROR(J11/I11,0)</f>
        <v>0.52719844357976653</v>
      </c>
      <c r="M11" s="29">
        <v>2376</v>
      </c>
      <c r="N11" s="31">
        <v>1333.96</v>
      </c>
      <c r="O11" s="23">
        <f>IFERROR(N11/M11,0)</f>
        <v>0.56143097643097639</v>
      </c>
      <c r="P11" s="39"/>
      <c r="Q11" s="45">
        <f t="shared" si="2"/>
        <v>1333.95768</v>
      </c>
      <c r="R11" s="21">
        <f t="shared" si="6"/>
        <v>2.3200000000542786E-3</v>
      </c>
      <c r="S11" s="45">
        <f t="shared" si="7"/>
        <v>144.28751</v>
      </c>
      <c r="T11" s="21">
        <f t="shared" si="8"/>
        <v>-8.7975099999999884</v>
      </c>
      <c r="U11" s="21">
        <f t="shared" si="9"/>
        <v>-8.7951899999999341</v>
      </c>
      <c r="V11" s="15"/>
    </row>
    <row r="12" spans="1:22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29">
        <v>1387235</v>
      </c>
      <c r="F12" s="31">
        <v>746635.36</v>
      </c>
      <c r="G12" s="11">
        <f t="shared" si="3"/>
        <v>0.53821836963456082</v>
      </c>
      <c r="H12" s="11"/>
      <c r="I12" s="25">
        <f t="shared" si="4"/>
        <v>940695</v>
      </c>
      <c r="J12" s="10">
        <f t="shared" si="4"/>
        <v>495934.39999999997</v>
      </c>
      <c r="K12" s="23">
        <f t="shared" ref="K12:K18" si="10">IFERROR(J12/I12,0)</f>
        <v>0.52719999574782472</v>
      </c>
      <c r="M12" s="29">
        <f>268774+177766</f>
        <v>446540</v>
      </c>
      <c r="N12" s="31">
        <f>150897.79+99803.17</f>
        <v>250700.96000000002</v>
      </c>
      <c r="O12" s="23">
        <f t="shared" ref="O12:O18" si="11">IFERROR(N12/M12,0)</f>
        <v>0.5614300174676401</v>
      </c>
      <c r="P12" s="39"/>
      <c r="Q12" s="45">
        <f t="shared" si="2"/>
        <v>250700.9522</v>
      </c>
      <c r="R12" s="21">
        <f t="shared" si="6"/>
        <v>7.8000000212341547E-3</v>
      </c>
      <c r="S12" s="45">
        <f t="shared" si="7"/>
        <v>528134.39384999999</v>
      </c>
      <c r="T12" s="21">
        <f t="shared" si="8"/>
        <v>-32199.993850000028</v>
      </c>
      <c r="U12" s="21">
        <f t="shared" si="9"/>
        <v>-32199.986050000007</v>
      </c>
      <c r="V12" s="15"/>
    </row>
    <row r="13" spans="1:22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8622002</v>
      </c>
      <c r="F13" s="31">
        <v>4683351</v>
      </c>
      <c r="G13" s="11">
        <f t="shared" si="3"/>
        <v>0.54318602570493491</v>
      </c>
      <c r="H13" s="11"/>
      <c r="I13" s="25">
        <f t="shared" si="4"/>
        <v>4622256</v>
      </c>
      <c r="J13" s="10">
        <f t="shared" si="4"/>
        <v>2438004.08</v>
      </c>
      <c r="K13" s="23">
        <f t="shared" si="10"/>
        <v>0.52744895133458647</v>
      </c>
      <c r="M13" s="29">
        <f>3999299+447</f>
        <v>3999746</v>
      </c>
      <c r="N13" s="31">
        <f>2245106.73+240.19</f>
        <v>2245346.92</v>
      </c>
      <c r="O13" s="23">
        <f t="shared" si="11"/>
        <v>0.56137237714594879</v>
      </c>
      <c r="P13" s="39">
        <f t="shared" si="5"/>
        <v>-3.3923425811362318E-2</v>
      </c>
      <c r="Q13" s="45">
        <f t="shared" si="2"/>
        <v>2245577.3967800001</v>
      </c>
      <c r="R13" s="21">
        <f t="shared" si="6"/>
        <v>-230.47678000014275</v>
      </c>
      <c r="S13" s="45">
        <f t="shared" si="7"/>
        <v>2595073.1860799999</v>
      </c>
      <c r="T13" s="21">
        <f t="shared" si="8"/>
        <v>-157069.10607999982</v>
      </c>
      <c r="U13" s="21">
        <f t="shared" si="9"/>
        <v>-157299.58285999997</v>
      </c>
      <c r="V13" s="15"/>
    </row>
    <row r="14" spans="1:22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29">
        <v>528</v>
      </c>
      <c r="F14" s="31">
        <v>293.66000000000003</v>
      </c>
      <c r="G14" s="11">
        <f t="shared" si="3"/>
        <v>0.55617424242424252</v>
      </c>
      <c r="H14" s="11"/>
      <c r="I14" s="25">
        <f t="shared" si="4"/>
        <v>81</v>
      </c>
      <c r="J14" s="10">
        <f t="shared" si="4"/>
        <v>42.700000000000017</v>
      </c>
      <c r="K14" s="23">
        <f t="shared" si="10"/>
        <v>0.52716049382716068</v>
      </c>
      <c r="M14" s="29">
        <v>447</v>
      </c>
      <c r="N14" s="31">
        <v>250.96</v>
      </c>
      <c r="O14" s="23">
        <f t="shared" si="11"/>
        <v>0.56143176733780764</v>
      </c>
      <c r="P14" s="39"/>
      <c r="Q14" s="45">
        <f t="shared" si="2"/>
        <v>250.95920999999998</v>
      </c>
      <c r="R14" s="21">
        <f t="shared" si="6"/>
        <v>7.9000000002338311E-4</v>
      </c>
      <c r="S14" s="45">
        <f t="shared" si="7"/>
        <v>45.475830000000002</v>
      </c>
      <c r="T14" s="21">
        <f t="shared" si="8"/>
        <v>-2.7758299999999849</v>
      </c>
      <c r="U14" s="21">
        <f t="shared" si="9"/>
        <v>-2.7750399999999615</v>
      </c>
      <c r="V14" s="15"/>
    </row>
    <row r="15" spans="1:22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427</v>
      </c>
      <c r="F15" s="31">
        <v>233.26</v>
      </c>
      <c r="G15" s="11">
        <f t="shared" si="3"/>
        <v>0.54627634660421542</v>
      </c>
      <c r="H15" s="11"/>
      <c r="I15" s="25">
        <f t="shared" si="4"/>
        <v>189</v>
      </c>
      <c r="J15" s="10">
        <f t="shared" si="4"/>
        <v>99.649999999999977</v>
      </c>
      <c r="K15" s="23">
        <f t="shared" si="10"/>
        <v>0.52724867724867708</v>
      </c>
      <c r="M15" s="29">
        <v>238</v>
      </c>
      <c r="N15" s="31">
        <v>133.61000000000001</v>
      </c>
      <c r="O15" s="23">
        <f t="shared" si="11"/>
        <v>0.56138655462184883</v>
      </c>
      <c r="P15" s="39"/>
      <c r="Q15" s="45">
        <f t="shared" si="2"/>
        <v>133.62034</v>
      </c>
      <c r="R15" s="21">
        <f t="shared" si="6"/>
        <v>-1.0339999999985139E-2</v>
      </c>
      <c r="S15" s="45">
        <f t="shared" si="7"/>
        <v>106.11027</v>
      </c>
      <c r="T15" s="21">
        <f t="shared" si="8"/>
        <v>-6.4602700000000226</v>
      </c>
      <c r="U15" s="21">
        <f t="shared" si="9"/>
        <v>-6.4706100000000077</v>
      </c>
      <c r="V15" s="15"/>
    </row>
    <row r="16" spans="1:22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29">
        <v>32</v>
      </c>
      <c r="F16" s="31">
        <v>17.62</v>
      </c>
      <c r="G16" s="11">
        <f t="shared" si="3"/>
        <v>0.55062500000000003</v>
      </c>
      <c r="H16" s="11"/>
      <c r="I16" s="25">
        <f t="shared" si="4"/>
        <v>10</v>
      </c>
      <c r="J16" s="10">
        <f t="shared" si="4"/>
        <v>5.2700000000000014</v>
      </c>
      <c r="K16" s="23">
        <f t="shared" si="10"/>
        <v>0.52700000000000014</v>
      </c>
      <c r="M16" s="29">
        <v>22</v>
      </c>
      <c r="N16" s="31">
        <v>12.35</v>
      </c>
      <c r="O16" s="23">
        <f t="shared" si="11"/>
        <v>0.5613636363636364</v>
      </c>
      <c r="P16" s="39"/>
      <c r="Q16" s="45">
        <f t="shared" si="2"/>
        <v>12.351459999999999</v>
      </c>
      <c r="R16" s="21">
        <f t="shared" si="6"/>
        <v>-1.4599999999997948E-3</v>
      </c>
      <c r="S16" s="45">
        <f t="shared" si="7"/>
        <v>5.6143000000000001</v>
      </c>
      <c r="T16" s="21">
        <f t="shared" si="8"/>
        <v>-0.34429999999999872</v>
      </c>
      <c r="U16" s="21">
        <f t="shared" si="9"/>
        <v>-0.34575999999999851</v>
      </c>
      <c r="V16" s="15"/>
    </row>
    <row r="17" spans="1:22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31">
        <v>197.63</v>
      </c>
      <c r="G17" s="11">
        <f t="shared" si="3"/>
        <v>0.55203910614525142</v>
      </c>
      <c r="H17" s="11"/>
      <c r="I17" s="25">
        <f t="shared" si="4"/>
        <v>98</v>
      </c>
      <c r="J17" s="10">
        <f t="shared" si="4"/>
        <v>51.66</v>
      </c>
      <c r="K17" s="23">
        <f t="shared" si="10"/>
        <v>0.52714285714285714</v>
      </c>
      <c r="M17" s="29">
        <v>260</v>
      </c>
      <c r="N17" s="31">
        <v>145.97</v>
      </c>
      <c r="O17" s="23">
        <f t="shared" si="11"/>
        <v>0.56142307692307691</v>
      </c>
      <c r="P17" s="39"/>
      <c r="Q17" s="45">
        <f t="shared" si="2"/>
        <v>145.9718</v>
      </c>
      <c r="R17" s="21">
        <f t="shared" si="6"/>
        <v>-1.8000000000029104E-3</v>
      </c>
      <c r="S17" s="45">
        <f t="shared" si="7"/>
        <v>55.020139999999998</v>
      </c>
      <c r="T17" s="21">
        <f t="shared" si="8"/>
        <v>-3.3601400000000012</v>
      </c>
      <c r="U17" s="21">
        <f t="shared" si="9"/>
        <v>-3.3619400000000041</v>
      </c>
      <c r="V17" s="15"/>
    </row>
    <row r="18" spans="1:22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29">
        <v>610</v>
      </c>
      <c r="F18" s="31">
        <v>331.47</v>
      </c>
      <c r="G18" s="11">
        <f t="shared" si="3"/>
        <v>0.54339344262295086</v>
      </c>
      <c r="H18" s="11"/>
      <c r="I18" s="25">
        <f t="shared" si="4"/>
        <v>337</v>
      </c>
      <c r="J18" s="10">
        <f t="shared" si="4"/>
        <v>178.59000000000003</v>
      </c>
      <c r="K18" s="23">
        <f t="shared" si="10"/>
        <v>0.52994065281899116</v>
      </c>
      <c r="M18" s="29">
        <v>273</v>
      </c>
      <c r="N18" s="31">
        <v>152.88</v>
      </c>
      <c r="O18" s="23">
        <f t="shared" si="11"/>
        <v>0.55999999999999994</v>
      </c>
      <c r="P18" s="39"/>
      <c r="Q18" s="45">
        <f>+M18*$M$4</f>
        <v>153.27038999999999</v>
      </c>
      <c r="R18" s="21">
        <f t="shared" si="6"/>
        <v>-0.39038999999999646</v>
      </c>
      <c r="S18" s="45">
        <f t="shared" si="7"/>
        <v>189.20191</v>
      </c>
      <c r="T18" s="21">
        <f t="shared" si="8"/>
        <v>-10.611909999999966</v>
      </c>
      <c r="U18" s="21">
        <f t="shared" si="9"/>
        <v>-11.002299999999963</v>
      </c>
      <c r="V18" s="15"/>
    </row>
    <row r="19" spans="1:22" ht="15.75" thickBot="1" x14ac:dyDescent="0.3">
      <c r="A19" s="46" t="s">
        <v>2</v>
      </c>
      <c r="B19" s="47"/>
      <c r="C19" s="47"/>
      <c r="D19" s="48"/>
      <c r="E19" s="7">
        <f>SUM(E6:E18)</f>
        <v>15531155</v>
      </c>
      <c r="F19" s="9">
        <f>SUM(F6:F18)</f>
        <v>8428770.4500000011</v>
      </c>
      <c r="I19" s="26">
        <f>SUM(I6:I18)</f>
        <v>8527237</v>
      </c>
      <c r="J19" s="9">
        <f>SUM(J6:J18)</f>
        <v>4496811.5900000008</v>
      </c>
      <c r="M19" s="7">
        <f>SUM(M6:M18)</f>
        <v>7003918</v>
      </c>
      <c r="N19" s="9">
        <f>SUM(N6:N18)</f>
        <v>3931958.86</v>
      </c>
      <c r="P19" s="15"/>
      <c r="Q19" s="15"/>
      <c r="R19" s="21">
        <f>SUM(R6:R18)</f>
        <v>-250.82274000008283</v>
      </c>
      <c r="S19" s="15"/>
      <c r="T19" s="15"/>
      <c r="U19" s="15"/>
      <c r="V19" s="15"/>
    </row>
    <row r="20" spans="1:22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5"/>
      <c r="T20" s="15"/>
      <c r="U20" s="15"/>
      <c r="V20" s="15"/>
    </row>
    <row r="21" spans="1:22" x14ac:dyDescent="0.25">
      <c r="G21" s="40"/>
      <c r="H21" s="40"/>
      <c r="I21" s="40"/>
      <c r="J21" s="40"/>
      <c r="K21" s="40"/>
      <c r="L21" s="40"/>
      <c r="M21" s="40"/>
      <c r="N21" s="41">
        <f>+N19+K19</f>
        <v>3931958.86</v>
      </c>
      <c r="O21" s="40"/>
      <c r="P21" s="40"/>
      <c r="Q21" s="40"/>
      <c r="R21" s="40"/>
      <c r="S21" s="15"/>
      <c r="T21" s="15"/>
      <c r="U21" s="15"/>
      <c r="V21" s="15"/>
    </row>
    <row r="22" spans="1:22" x14ac:dyDescent="0.25">
      <c r="G22" s="40"/>
      <c r="H22" s="40"/>
      <c r="I22" s="40"/>
      <c r="J22" s="40"/>
      <c r="K22" s="40"/>
      <c r="L22" s="40"/>
      <c r="M22" s="40"/>
      <c r="N22" s="41">
        <f>+H19-N21</f>
        <v>-3931958.86</v>
      </c>
      <c r="O22" s="40"/>
      <c r="P22" s="40"/>
      <c r="Q22" s="40"/>
      <c r="R22" s="40"/>
      <c r="S22" s="15"/>
      <c r="T22" s="15"/>
      <c r="U22" s="15"/>
      <c r="V22" s="15"/>
    </row>
    <row r="23" spans="1:22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  <c r="T23" s="15"/>
      <c r="U23" s="15"/>
      <c r="V23" s="15"/>
    </row>
    <row r="24" spans="1:22" x14ac:dyDescent="0.25">
      <c r="G24" s="40" t="s">
        <v>54</v>
      </c>
      <c r="H24" s="40"/>
      <c r="I24" s="40"/>
      <c r="J24" s="41">
        <f>+J13+J14+J15+J16</f>
        <v>2438151.7000000002</v>
      </c>
      <c r="K24" s="40"/>
      <c r="L24" s="40"/>
      <c r="M24" s="40"/>
      <c r="N24" s="41">
        <f>+N13+N14+N15+N16</f>
        <v>2245743.84</v>
      </c>
      <c r="O24" s="41">
        <f>+N24+J24</f>
        <v>4683895.54</v>
      </c>
      <c r="P24" s="40"/>
      <c r="Q24" s="40" t="s">
        <v>54</v>
      </c>
      <c r="R24" s="41">
        <f>+R13+R14+R15+R16</f>
        <v>-230.48779000014272</v>
      </c>
      <c r="S24" s="15"/>
      <c r="T24" s="15"/>
      <c r="U24" s="41">
        <f>+U13+U14+U15+U16</f>
        <v>-157309.17426999996</v>
      </c>
      <c r="V24" s="15"/>
    </row>
    <row r="25" spans="1:22" x14ac:dyDescent="0.25">
      <c r="G25" s="40" t="s">
        <v>55</v>
      </c>
      <c r="H25" s="40"/>
      <c r="I25" s="40"/>
      <c r="J25" s="41">
        <f>+J6+J17+J18+J8</f>
        <v>1407272.6500000001</v>
      </c>
      <c r="K25" s="40"/>
      <c r="L25" s="40"/>
      <c r="M25" s="40"/>
      <c r="N25" s="41">
        <f>+N6+N17+N18+N8</f>
        <v>1191115.3599999999</v>
      </c>
      <c r="O25" s="41">
        <f t="shared" ref="O25:O28" si="12">+N25+J25</f>
        <v>2598388.0099999998</v>
      </c>
      <c r="P25" s="40"/>
      <c r="Q25" s="40" t="s">
        <v>55</v>
      </c>
      <c r="R25" s="41">
        <f>+R6+R17+R18+R8</f>
        <v>-20.14229999998426</v>
      </c>
      <c r="S25" s="15"/>
      <c r="T25" s="15"/>
      <c r="U25" s="41">
        <f>+U6+U17+U18+U8</f>
        <v>-91284.446789999769</v>
      </c>
      <c r="V25" s="15"/>
    </row>
    <row r="26" spans="1:22" x14ac:dyDescent="0.25">
      <c r="G26" s="40" t="s">
        <v>56</v>
      </c>
      <c r="H26" s="40"/>
      <c r="I26" s="40"/>
      <c r="J26" s="41">
        <f>+J9+J11</f>
        <v>109946.05</v>
      </c>
      <c r="K26" s="40"/>
      <c r="L26" s="40"/>
      <c r="M26" s="40"/>
      <c r="N26" s="41">
        <f>+N9+N11</f>
        <v>154135.91</v>
      </c>
      <c r="O26" s="41">
        <f t="shared" si="12"/>
        <v>264081.96000000002</v>
      </c>
      <c r="P26" s="40"/>
      <c r="Q26" s="40" t="s">
        <v>56</v>
      </c>
      <c r="R26" s="41">
        <f>+R9+R11</f>
        <v>-0.20505999997794788</v>
      </c>
      <c r="S26" s="15"/>
      <c r="T26" s="15"/>
      <c r="U26" s="41">
        <f>+U9+U11</f>
        <v>-7138.6972699999706</v>
      </c>
      <c r="V26" s="15"/>
    </row>
    <row r="27" spans="1:22" x14ac:dyDescent="0.25">
      <c r="G27" s="40" t="s">
        <v>57</v>
      </c>
      <c r="H27" s="40"/>
      <c r="I27" s="40"/>
      <c r="J27" s="41">
        <f>+J7+J10</f>
        <v>45506.790000000008</v>
      </c>
      <c r="K27" s="40"/>
      <c r="L27" s="40"/>
      <c r="M27" s="40"/>
      <c r="N27" s="41">
        <f>+N7+N10</f>
        <v>90262.79</v>
      </c>
      <c r="O27" s="41">
        <f t="shared" si="12"/>
        <v>135769.58000000002</v>
      </c>
      <c r="P27" s="40"/>
      <c r="Q27" s="40" t="s">
        <v>57</v>
      </c>
      <c r="R27" s="41">
        <f>+R7+R10</f>
        <v>4.610000000866421E-3</v>
      </c>
      <c r="S27" s="15"/>
      <c r="T27" s="15"/>
      <c r="U27" s="41">
        <f>+U7+U10</f>
        <v>-2953.5972699999884</v>
      </c>
      <c r="V27" s="15"/>
    </row>
    <row r="28" spans="1:22" x14ac:dyDescent="0.25">
      <c r="G28" s="40" t="s">
        <v>58</v>
      </c>
      <c r="H28" s="40"/>
      <c r="I28" s="40"/>
      <c r="J28" s="41">
        <f>+J12</f>
        <v>495934.39999999997</v>
      </c>
      <c r="K28" s="40"/>
      <c r="L28" s="40"/>
      <c r="M28" s="40"/>
      <c r="N28" s="41">
        <f>+N12</f>
        <v>250700.96000000002</v>
      </c>
      <c r="O28" s="41">
        <f t="shared" si="12"/>
        <v>746635.36</v>
      </c>
      <c r="P28" s="40"/>
      <c r="Q28" s="40" t="s">
        <v>58</v>
      </c>
      <c r="R28" s="41">
        <f>+R12</f>
        <v>7.8000000212341547E-3</v>
      </c>
      <c r="S28" s="15"/>
      <c r="T28" s="15"/>
      <c r="U28" s="41">
        <f>+U12</f>
        <v>-32199.986050000007</v>
      </c>
      <c r="V28" s="15"/>
    </row>
    <row r="29" spans="1:22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8428770.4499999993</v>
      </c>
      <c r="P29" s="41">
        <f>+O29-F19</f>
        <v>0</v>
      </c>
      <c r="Q29" s="40"/>
      <c r="R29" s="40"/>
      <c r="S29" s="15"/>
      <c r="T29" s="15"/>
      <c r="U29" s="15"/>
      <c r="V29" s="15"/>
    </row>
    <row r="30" spans="1:22" x14ac:dyDescent="0.25">
      <c r="J30" s="42">
        <v>2437000.9791999999</v>
      </c>
      <c r="K30" s="43"/>
      <c r="N30" s="43">
        <v>2245974.32779</v>
      </c>
    </row>
    <row r="31" spans="1:22" x14ac:dyDescent="0.25">
      <c r="J31" s="42">
        <v>1407172.1895999999</v>
      </c>
      <c r="K31" s="43"/>
      <c r="N31" s="43">
        <v>1191135.5023000001</v>
      </c>
    </row>
    <row r="32" spans="1:22" x14ac:dyDescent="0.25">
      <c r="N32" s="15"/>
    </row>
    <row r="33" spans="10:14" x14ac:dyDescent="0.25">
      <c r="J33" s="38">
        <f>+J24-J30</f>
        <v>1150.7208000002429</v>
      </c>
      <c r="N33" s="38">
        <f>+N24-N30</f>
        <v>-230.48779000015929</v>
      </c>
    </row>
    <row r="34" spans="10:14" x14ac:dyDescent="0.25">
      <c r="J34" s="38">
        <f>+J25-J31</f>
        <v>100.46040000021458</v>
      </c>
      <c r="N34" s="38">
        <f>+N25-N31</f>
        <v>-20.142300000181422</v>
      </c>
    </row>
  </sheetData>
  <mergeCells count="5">
    <mergeCell ref="A1:C1"/>
    <mergeCell ref="M4:N4"/>
    <mergeCell ref="A3:C4"/>
    <mergeCell ref="A19:D19"/>
    <mergeCell ref="I4:J4"/>
  </mergeCells>
  <phoneticPr fontId="6" type="noConversion"/>
  <pageMargins left="0.75" right="0.75" top="1" bottom="1" header="0.5" footer="0.5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4"/>
  <sheetViews>
    <sheetView showGridLines="0" zoomScaleNormal="100" workbookViewId="0">
      <selection activeCell="C25" sqref="C25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2.5703125" bestFit="1" customWidth="1"/>
    <col min="8" max="8" width="2.5703125" customWidth="1"/>
    <col min="9" max="9" width="7.7109375" bestFit="1" customWidth="1"/>
    <col min="10" max="10" width="15.85546875" bestFit="1" customWidth="1"/>
    <col min="11" max="11" width="7" style="15" bestFit="1" customWidth="1"/>
    <col min="12" max="12" width="2.7109375" customWidth="1"/>
    <col min="13" max="13" width="8.7109375" bestFit="1" customWidth="1"/>
    <col min="14" max="14" width="15.28515625" bestFit="1" customWidth="1"/>
    <col min="15" max="15" width="14.85546875" style="15" bestFit="1" customWidth="1"/>
    <col min="16" max="16" width="8.85546875" bestFit="1" customWidth="1"/>
    <col min="17" max="17" width="13.85546875" bestFit="1" customWidth="1"/>
    <col min="18" max="18" width="10.28515625" bestFit="1" customWidth="1"/>
    <col min="19" max="19" width="12" bestFit="1" customWidth="1"/>
    <col min="20" max="21" width="10.28515625" bestFit="1" customWidth="1"/>
  </cols>
  <sheetData>
    <row r="1" spans="1:22" ht="15.75" x14ac:dyDescent="0.25">
      <c r="A1" s="57" t="s">
        <v>38</v>
      </c>
      <c r="B1" s="57"/>
      <c r="C1" s="57"/>
    </row>
    <row r="2" spans="1:22" ht="15.75" thickBot="1" x14ac:dyDescent="0.3">
      <c r="A2" s="1"/>
    </row>
    <row r="3" spans="1:22" ht="15.75" thickBot="1" x14ac:dyDescent="0.3">
      <c r="A3" s="49"/>
      <c r="B3" s="50"/>
      <c r="C3" s="51"/>
      <c r="D3" s="3" t="s">
        <v>1</v>
      </c>
      <c r="E3" s="6" t="s">
        <v>44</v>
      </c>
      <c r="F3" s="6" t="s">
        <v>44</v>
      </c>
      <c r="I3" s="6" t="s">
        <v>44</v>
      </c>
      <c r="J3" s="6" t="s">
        <v>44</v>
      </c>
      <c r="M3" s="6" t="s">
        <v>44</v>
      </c>
      <c r="N3" s="6" t="s">
        <v>44</v>
      </c>
    </row>
    <row r="4" spans="1:22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39</v>
      </c>
      <c r="J4" s="72"/>
      <c r="K4" s="24"/>
      <c r="M4" s="55" t="s">
        <v>40</v>
      </c>
      <c r="N4" s="56"/>
      <c r="O4" s="24"/>
    </row>
    <row r="5" spans="1:22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2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3398457</v>
      </c>
      <c r="F6" s="31">
        <v>1907612.54</v>
      </c>
      <c r="G6" s="11">
        <f>+F6/E6</f>
        <v>0.56131725074055672</v>
      </c>
      <c r="H6" s="11"/>
      <c r="I6" s="25">
        <f>E6-M6</f>
        <v>89043</v>
      </c>
      <c r="J6" s="10">
        <f>F6-N6</f>
        <v>49784.219999999972</v>
      </c>
      <c r="K6" s="23">
        <f t="shared" ref="K6:K10" si="0">IFERROR(J6/I6,0)</f>
        <v>0.55910312994845157</v>
      </c>
      <c r="M6" s="29">
        <v>3309414</v>
      </c>
      <c r="N6" s="31">
        <v>1857828.32</v>
      </c>
      <c r="O6" s="23">
        <f t="shared" ref="O6:O10" si="1">IFERROR(N6/M6,0)</f>
        <v>0.56137682381231246</v>
      </c>
      <c r="P6" s="39">
        <f>+K6-O6</f>
        <v>-2.2736938638608928E-3</v>
      </c>
      <c r="Q6" s="45">
        <f t="shared" ref="Q6:Q17" si="2">+M6*$M$4</f>
        <v>1858004.3020200001</v>
      </c>
      <c r="R6" s="21">
        <f>+N6-Q6</f>
        <v>-175.98201999999583</v>
      </c>
      <c r="S6" s="45">
        <f>+I6*$M$4</f>
        <v>49991.411489999999</v>
      </c>
      <c r="T6" s="21">
        <f>-S6+J6</f>
        <v>-207.19149000002653</v>
      </c>
      <c r="U6" s="21">
        <f>+R6+T6</f>
        <v>-383.17351000002236</v>
      </c>
      <c r="V6" s="15"/>
    </row>
    <row r="7" spans="1:22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144507</v>
      </c>
      <c r="F7" s="31">
        <v>80804.87</v>
      </c>
      <c r="G7" s="11">
        <f t="shared" ref="G7:G18" si="3">+F7/E7</f>
        <v>0.55917616447646135</v>
      </c>
      <c r="H7" s="11"/>
      <c r="I7" s="25">
        <f t="shared" ref="I7:J18" si="4">E7-M7</f>
        <v>58473</v>
      </c>
      <c r="J7" s="10">
        <f t="shared" si="4"/>
        <v>32502.799999999996</v>
      </c>
      <c r="K7" s="23">
        <f t="shared" si="0"/>
        <v>0.55585996955859962</v>
      </c>
      <c r="M7" s="29">
        <v>86034</v>
      </c>
      <c r="N7" s="31">
        <v>48302.07</v>
      </c>
      <c r="O7" s="23">
        <f t="shared" si="1"/>
        <v>0.56143001604017018</v>
      </c>
      <c r="P7" s="39">
        <f t="shared" ref="P7:P13" si="5">+K7-O7</f>
        <v>-5.5700464815705564E-3</v>
      </c>
      <c r="Q7" s="45">
        <f t="shared" si="2"/>
        <v>48302.068619999998</v>
      </c>
      <c r="R7" s="21">
        <f t="shared" ref="R7:R18" si="6">+N7-Q7</f>
        <v>1.3800000015180558E-3</v>
      </c>
      <c r="S7" s="45">
        <f t="shared" ref="S7:S18" si="7">+I7*$M$4</f>
        <v>32828.49639</v>
      </c>
      <c r="T7" s="21">
        <f t="shared" ref="T7:T18" si="8">-S7+J7</f>
        <v>-325.69639000000461</v>
      </c>
      <c r="U7" s="21">
        <f t="shared" ref="U7:U18" si="9">+R7+T7</f>
        <v>-325.69501000000309</v>
      </c>
      <c r="V7" s="15"/>
    </row>
    <row r="8" spans="1:22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29">
        <v>1168</v>
      </c>
      <c r="F8" s="31">
        <v>655.75</v>
      </c>
      <c r="G8" s="12">
        <f t="shared" si="3"/>
        <v>0.56142979452054798</v>
      </c>
      <c r="H8" s="12"/>
      <c r="I8" s="25">
        <f t="shared" si="4"/>
        <v>0</v>
      </c>
      <c r="J8" s="10">
        <f t="shared" si="4"/>
        <v>0</v>
      </c>
      <c r="K8" s="23">
        <f t="shared" si="0"/>
        <v>0</v>
      </c>
      <c r="M8" s="29">
        <v>1168</v>
      </c>
      <c r="N8" s="31">
        <v>655.75</v>
      </c>
      <c r="O8" s="23">
        <f t="shared" si="1"/>
        <v>0.56142979452054798</v>
      </c>
      <c r="P8" s="39"/>
      <c r="Q8" s="45">
        <f t="shared" si="2"/>
        <v>655.75023999999996</v>
      </c>
      <c r="R8" s="21">
        <f t="shared" si="6"/>
        <v>-2.3999999996249244E-4</v>
      </c>
      <c r="S8" s="45">
        <f t="shared" si="7"/>
        <v>0</v>
      </c>
      <c r="T8" s="21">
        <f t="shared" si="8"/>
        <v>0</v>
      </c>
      <c r="U8" s="21">
        <f t="shared" si="9"/>
        <v>-2.3999999996249244E-4</v>
      </c>
      <c r="V8" s="15"/>
    </row>
    <row r="9" spans="1:22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527548</v>
      </c>
      <c r="F9" s="31">
        <v>295874.08</v>
      </c>
      <c r="G9" s="11">
        <f t="shared" si="3"/>
        <v>0.56084769537558665</v>
      </c>
      <c r="H9" s="11"/>
      <c r="I9" s="25">
        <f t="shared" si="4"/>
        <v>79622</v>
      </c>
      <c r="J9" s="10">
        <f t="shared" si="4"/>
        <v>44396.080000000016</v>
      </c>
      <c r="K9" s="23">
        <f t="shared" si="0"/>
        <v>0.55758559192183088</v>
      </c>
      <c r="M9" s="29">
        <v>447926</v>
      </c>
      <c r="N9" s="31">
        <v>251478</v>
      </c>
      <c r="O9" s="23">
        <f t="shared" si="1"/>
        <v>0.56142755723043536</v>
      </c>
      <c r="P9" s="39">
        <f t="shared" si="5"/>
        <v>-3.841965308604478E-3</v>
      </c>
      <c r="Q9" s="45">
        <f t="shared" si="2"/>
        <v>251479.09417999999</v>
      </c>
      <c r="R9" s="21">
        <f t="shared" si="6"/>
        <v>-1.0941799999854993</v>
      </c>
      <c r="S9" s="45">
        <f t="shared" si="7"/>
        <v>44702.179459999999</v>
      </c>
      <c r="T9" s="21">
        <f t="shared" si="8"/>
        <v>-306.09945999998308</v>
      </c>
      <c r="U9" s="21">
        <f t="shared" si="9"/>
        <v>-307.19363999996858</v>
      </c>
      <c r="V9" s="15"/>
    </row>
    <row r="10" spans="1:22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170961</v>
      </c>
      <c r="F10" s="31">
        <v>95658.47</v>
      </c>
      <c r="G10" s="11">
        <f t="shared" si="3"/>
        <v>0.55953387029790425</v>
      </c>
      <c r="H10" s="11"/>
      <c r="I10" s="25">
        <f t="shared" si="4"/>
        <v>76365</v>
      </c>
      <c r="J10" s="10">
        <f t="shared" si="4"/>
        <v>42549.440000000002</v>
      </c>
      <c r="K10" s="23">
        <f t="shared" si="0"/>
        <v>0.5571850978851568</v>
      </c>
      <c r="M10" s="29">
        <v>94596</v>
      </c>
      <c r="N10" s="31">
        <v>53109.03</v>
      </c>
      <c r="O10" s="23">
        <f t="shared" si="1"/>
        <v>0.56142997589750099</v>
      </c>
      <c r="P10" s="39">
        <f t="shared" si="5"/>
        <v>-4.2448780123441887E-3</v>
      </c>
      <c r="Q10" s="45">
        <f t="shared" si="2"/>
        <v>53109.032279999999</v>
      </c>
      <c r="R10" s="21">
        <f t="shared" si="6"/>
        <v>-2.2800000006100163E-3</v>
      </c>
      <c r="S10" s="45">
        <f t="shared" si="7"/>
        <v>42873.601949999997</v>
      </c>
      <c r="T10" s="21">
        <f t="shared" si="8"/>
        <v>-324.16194999999425</v>
      </c>
      <c r="U10" s="21">
        <f t="shared" si="9"/>
        <v>-324.16422999999486</v>
      </c>
      <c r="V10" s="15"/>
    </row>
    <row r="11" spans="1:22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10307</v>
      </c>
      <c r="F11" s="31">
        <v>5942.14</v>
      </c>
      <c r="G11" s="12">
        <f t="shared" si="3"/>
        <v>0.57651498981274862</v>
      </c>
      <c r="H11" s="12"/>
      <c r="I11" s="25">
        <f t="shared" si="4"/>
        <v>-4843</v>
      </c>
      <c r="J11" s="10">
        <f t="shared" si="4"/>
        <v>-2563.5199999999995</v>
      </c>
      <c r="K11" s="23">
        <f>IFERROR(J11/I11,0)</f>
        <v>0.52932479867850502</v>
      </c>
      <c r="M11" s="29">
        <v>15150</v>
      </c>
      <c r="N11" s="31">
        <v>8505.66</v>
      </c>
      <c r="O11" s="23">
        <f>IFERROR(N11/M11,0)</f>
        <v>0.56142970297029704</v>
      </c>
      <c r="P11" s="39"/>
      <c r="Q11" s="45">
        <f t="shared" si="2"/>
        <v>8505.664499999999</v>
      </c>
      <c r="R11" s="21">
        <f t="shared" si="6"/>
        <v>-4.4999999990977813E-3</v>
      </c>
      <c r="S11" s="45">
        <f t="shared" si="7"/>
        <v>-2719.00549</v>
      </c>
      <c r="T11" s="21">
        <f t="shared" si="8"/>
        <v>155.48549000000048</v>
      </c>
      <c r="U11" s="21">
        <f t="shared" si="9"/>
        <v>155.48099000000138</v>
      </c>
      <c r="V11" s="15"/>
    </row>
    <row r="12" spans="1:22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29">
        <v>683790</v>
      </c>
      <c r="F12" s="31">
        <v>383900.22</v>
      </c>
      <c r="G12" s="11">
        <f t="shared" si="3"/>
        <v>0.56143000043873115</v>
      </c>
      <c r="H12" s="11"/>
      <c r="I12" s="25">
        <f t="shared" si="4"/>
        <v>0</v>
      </c>
      <c r="J12" s="10">
        <f t="shared" si="4"/>
        <v>0</v>
      </c>
      <c r="K12" s="23">
        <f t="shared" ref="K12:K18" si="10">IFERROR(J12/I12,0)</f>
        <v>0</v>
      </c>
      <c r="M12" s="29">
        <v>683790</v>
      </c>
      <c r="N12" s="31">
        <v>383900.22</v>
      </c>
      <c r="O12" s="23">
        <f t="shared" ref="O12:O18" si="11">IFERROR(N12/M12,0)</f>
        <v>0.56143000043873115</v>
      </c>
      <c r="P12" s="39"/>
      <c r="Q12" s="45">
        <f t="shared" si="2"/>
        <v>383900.21970000002</v>
      </c>
      <c r="R12" s="21">
        <f t="shared" si="6"/>
        <v>2.9999995604157448E-4</v>
      </c>
      <c r="S12" s="45">
        <f t="shared" si="7"/>
        <v>0</v>
      </c>
      <c r="T12" s="21">
        <f t="shared" si="8"/>
        <v>0</v>
      </c>
      <c r="U12" s="21">
        <f t="shared" si="9"/>
        <v>2.9999995604157448E-4</v>
      </c>
      <c r="V12" s="15"/>
    </row>
    <row r="13" spans="1:22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5432621</v>
      </c>
      <c r="F13" s="31">
        <v>3050652</v>
      </c>
      <c r="G13" s="11">
        <f t="shared" si="3"/>
        <v>0.56154331399153379</v>
      </c>
      <c r="H13" s="11"/>
      <c r="I13" s="25">
        <f t="shared" si="4"/>
        <v>-19951</v>
      </c>
      <c r="J13" s="10">
        <f t="shared" si="4"/>
        <v>-10392.689999999944</v>
      </c>
      <c r="K13" s="23">
        <f t="shared" si="10"/>
        <v>0.52091073129166177</v>
      </c>
      <c r="M13" s="29">
        <v>5452572</v>
      </c>
      <c r="N13" s="31">
        <v>3061044.69</v>
      </c>
      <c r="O13" s="23">
        <f t="shared" si="11"/>
        <v>0.56139463908041931</v>
      </c>
      <c r="P13" s="39">
        <f t="shared" si="5"/>
        <v>-4.0483907788757545E-2</v>
      </c>
      <c r="Q13" s="45">
        <f t="shared" si="2"/>
        <v>3061237.4979599998</v>
      </c>
      <c r="R13" s="21">
        <f t="shared" si="6"/>
        <v>-192.80795999988914</v>
      </c>
      <c r="S13" s="45">
        <f t="shared" si="7"/>
        <v>-11201.08993</v>
      </c>
      <c r="T13" s="21">
        <f t="shared" si="8"/>
        <v>808.39993000005597</v>
      </c>
      <c r="U13" s="21">
        <f t="shared" si="9"/>
        <v>615.59197000016684</v>
      </c>
      <c r="V13" s="15"/>
    </row>
    <row r="14" spans="1:22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29">
        <v>178</v>
      </c>
      <c r="F14" s="31">
        <v>99.93</v>
      </c>
      <c r="G14" s="11">
        <f t="shared" si="3"/>
        <v>0.56140449438202256</v>
      </c>
      <c r="H14" s="11"/>
      <c r="I14" s="25">
        <f t="shared" si="4"/>
        <v>0</v>
      </c>
      <c r="J14" s="10">
        <f t="shared" si="4"/>
        <v>0</v>
      </c>
      <c r="K14" s="23">
        <f t="shared" si="10"/>
        <v>0</v>
      </c>
      <c r="M14" s="29">
        <v>178</v>
      </c>
      <c r="N14" s="31">
        <v>99.93</v>
      </c>
      <c r="O14" s="23">
        <f t="shared" si="11"/>
        <v>0.56140449438202256</v>
      </c>
      <c r="P14" s="39"/>
      <c r="Q14" s="45">
        <f t="shared" si="2"/>
        <v>99.934539999999998</v>
      </c>
      <c r="R14" s="21">
        <f t="shared" si="6"/>
        <v>-4.5399999999915508E-3</v>
      </c>
      <c r="S14" s="45">
        <f t="shared" si="7"/>
        <v>0</v>
      </c>
      <c r="T14" s="21">
        <f t="shared" si="8"/>
        <v>0</v>
      </c>
      <c r="U14" s="21">
        <f t="shared" si="9"/>
        <v>-4.5399999999915508E-3</v>
      </c>
      <c r="V14" s="15"/>
    </row>
    <row r="15" spans="1:22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335</v>
      </c>
      <c r="F15" s="31">
        <v>188.08</v>
      </c>
      <c r="G15" s="11">
        <f t="shared" si="3"/>
        <v>0.56143283582089554</v>
      </c>
      <c r="H15" s="11"/>
      <c r="I15" s="25">
        <f t="shared" si="4"/>
        <v>0</v>
      </c>
      <c r="J15" s="10">
        <f t="shared" si="4"/>
        <v>0</v>
      </c>
      <c r="K15" s="23">
        <f t="shared" si="10"/>
        <v>0</v>
      </c>
      <c r="M15" s="29">
        <v>335</v>
      </c>
      <c r="N15" s="31">
        <v>188.08</v>
      </c>
      <c r="O15" s="23">
        <f t="shared" si="11"/>
        <v>0.56143283582089554</v>
      </c>
      <c r="P15" s="39"/>
      <c r="Q15" s="45">
        <f t="shared" si="2"/>
        <v>188.07905</v>
      </c>
      <c r="R15" s="21">
        <f t="shared" si="6"/>
        <v>9.5000000001732587E-4</v>
      </c>
      <c r="S15" s="45">
        <f t="shared" si="7"/>
        <v>0</v>
      </c>
      <c r="T15" s="21">
        <f t="shared" si="8"/>
        <v>0</v>
      </c>
      <c r="U15" s="21">
        <f t="shared" si="9"/>
        <v>9.5000000001732587E-4</v>
      </c>
      <c r="V15" s="15"/>
    </row>
    <row r="16" spans="1:22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29">
        <v>32</v>
      </c>
      <c r="F16" s="31">
        <v>17.97</v>
      </c>
      <c r="G16" s="11">
        <f t="shared" si="3"/>
        <v>0.56156249999999996</v>
      </c>
      <c r="H16" s="11"/>
      <c r="I16" s="25">
        <f t="shared" si="4"/>
        <v>0</v>
      </c>
      <c r="J16" s="10">
        <f t="shared" si="4"/>
        <v>0</v>
      </c>
      <c r="K16" s="23">
        <f t="shared" si="10"/>
        <v>0</v>
      </c>
      <c r="M16" s="29">
        <v>32</v>
      </c>
      <c r="N16" s="31">
        <v>17.97</v>
      </c>
      <c r="O16" s="23">
        <f t="shared" si="11"/>
        <v>0.56156249999999996</v>
      </c>
      <c r="P16" s="39"/>
      <c r="Q16" s="45">
        <f t="shared" si="2"/>
        <v>17.96576</v>
      </c>
      <c r="R16" s="21">
        <f t="shared" si="6"/>
        <v>4.2399999999993554E-3</v>
      </c>
      <c r="S16" s="45">
        <f t="shared" si="7"/>
        <v>0</v>
      </c>
      <c r="T16" s="21">
        <f t="shared" si="8"/>
        <v>0</v>
      </c>
      <c r="U16" s="21">
        <f t="shared" si="9"/>
        <v>4.2399999999993554E-3</v>
      </c>
      <c r="V16" s="15"/>
    </row>
    <row r="17" spans="1:22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31">
        <v>200.99</v>
      </c>
      <c r="G17" s="11">
        <f t="shared" si="3"/>
        <v>0.56142458100558656</v>
      </c>
      <c r="H17" s="11"/>
      <c r="I17" s="25">
        <f t="shared" si="4"/>
        <v>0</v>
      </c>
      <c r="J17" s="10">
        <f t="shared" si="4"/>
        <v>0</v>
      </c>
      <c r="K17" s="23">
        <f t="shared" si="10"/>
        <v>0</v>
      </c>
      <c r="M17" s="29">
        <v>358</v>
      </c>
      <c r="N17" s="31">
        <v>200.99</v>
      </c>
      <c r="O17" s="23">
        <f t="shared" si="11"/>
        <v>0.56142458100558656</v>
      </c>
      <c r="P17" s="39"/>
      <c r="Q17" s="45">
        <f t="shared" si="2"/>
        <v>200.99194</v>
      </c>
      <c r="R17" s="21">
        <f t="shared" si="6"/>
        <v>-1.9399999999905049E-3</v>
      </c>
      <c r="S17" s="45">
        <f t="shared" si="7"/>
        <v>0</v>
      </c>
      <c r="T17" s="21">
        <f t="shared" si="8"/>
        <v>0</v>
      </c>
      <c r="U17" s="21">
        <f t="shared" si="9"/>
        <v>-1.9399999999905049E-3</v>
      </c>
      <c r="V17" s="15"/>
    </row>
    <row r="18" spans="1:22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29">
        <v>612</v>
      </c>
      <c r="F18" s="31">
        <v>342.66</v>
      </c>
      <c r="G18" s="11">
        <f t="shared" si="3"/>
        <v>0.55990196078431376</v>
      </c>
      <c r="H18" s="11"/>
      <c r="I18" s="25">
        <f t="shared" si="4"/>
        <v>0</v>
      </c>
      <c r="J18" s="10">
        <f t="shared" si="4"/>
        <v>0</v>
      </c>
      <c r="K18" s="23">
        <f t="shared" si="10"/>
        <v>0</v>
      </c>
      <c r="M18" s="29">
        <v>612</v>
      </c>
      <c r="N18" s="31">
        <v>342.66</v>
      </c>
      <c r="O18" s="23">
        <f t="shared" si="11"/>
        <v>0.55990196078431376</v>
      </c>
      <c r="P18" s="39"/>
      <c r="Q18" s="45">
        <f>+M18*$M$4</f>
        <v>343.59515999999996</v>
      </c>
      <c r="R18" s="21">
        <f t="shared" si="6"/>
        <v>-0.93515999999993937</v>
      </c>
      <c r="S18" s="45">
        <f t="shared" si="7"/>
        <v>0</v>
      </c>
      <c r="T18" s="21">
        <f t="shared" si="8"/>
        <v>0</v>
      </c>
      <c r="U18" s="21">
        <f t="shared" si="9"/>
        <v>-0.93515999999993937</v>
      </c>
      <c r="V18" s="15"/>
    </row>
    <row r="19" spans="1:22" ht="15.75" thickBot="1" x14ac:dyDescent="0.3">
      <c r="A19" s="46" t="s">
        <v>2</v>
      </c>
      <c r="B19" s="47"/>
      <c r="C19" s="47"/>
      <c r="D19" s="48"/>
      <c r="E19" s="7">
        <f>SUM(E6:E18)</f>
        <v>10370874</v>
      </c>
      <c r="F19" s="9">
        <f>SUM(F6:F18)</f>
        <v>5821949.7000000002</v>
      </c>
      <c r="I19" s="26">
        <f>SUM(I6:I18)</f>
        <v>278709</v>
      </c>
      <c r="J19" s="9">
        <f>SUM(J6:J18)</f>
        <v>156276.33000000005</v>
      </c>
      <c r="M19" s="7">
        <f>SUM(M6:M18)</f>
        <v>10092165</v>
      </c>
      <c r="N19" s="9">
        <f>SUM(N6:N18)</f>
        <v>5665673.3700000001</v>
      </c>
      <c r="P19" s="15"/>
      <c r="Q19" s="15"/>
      <c r="R19" s="21">
        <f>SUM(R6:R18)</f>
        <v>-370.82594999991255</v>
      </c>
      <c r="S19" s="15"/>
      <c r="T19" s="15"/>
      <c r="U19" s="15"/>
      <c r="V19" s="15"/>
    </row>
    <row r="20" spans="1:22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5"/>
      <c r="T20" s="15"/>
      <c r="U20" s="15"/>
      <c r="V20" s="15"/>
    </row>
    <row r="21" spans="1:22" x14ac:dyDescent="0.25">
      <c r="G21" s="40"/>
      <c r="H21" s="40"/>
      <c r="I21" s="40"/>
      <c r="J21" s="40"/>
      <c r="K21" s="40"/>
      <c r="L21" s="40"/>
      <c r="M21" s="40"/>
      <c r="N21" s="41">
        <f>+N19+J19</f>
        <v>5821949.7000000002</v>
      </c>
      <c r="O21" s="40"/>
      <c r="P21" s="40"/>
      <c r="Q21" s="40"/>
      <c r="R21" s="40"/>
      <c r="S21" s="15"/>
      <c r="T21" s="15"/>
      <c r="U21" s="15"/>
      <c r="V21" s="15"/>
    </row>
    <row r="22" spans="1:22" x14ac:dyDescent="0.25">
      <c r="G22" s="40"/>
      <c r="H22" s="40"/>
      <c r="I22" s="40"/>
      <c r="J22" s="40"/>
      <c r="K22" s="40"/>
      <c r="L22" s="40"/>
      <c r="M22" s="40"/>
      <c r="N22" s="41">
        <f>+F19-N21</f>
        <v>0</v>
      </c>
      <c r="O22" s="40"/>
      <c r="P22" s="40"/>
      <c r="Q22" s="40"/>
      <c r="R22" s="40"/>
      <c r="S22" s="15"/>
      <c r="T22" s="15"/>
      <c r="U22" s="15"/>
      <c r="V22" s="15"/>
    </row>
    <row r="23" spans="1:22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  <c r="T23" s="15"/>
      <c r="U23" s="15"/>
      <c r="V23" s="15"/>
    </row>
    <row r="24" spans="1:22" x14ac:dyDescent="0.25">
      <c r="F24" s="38"/>
      <c r="G24" s="40" t="s">
        <v>54</v>
      </c>
      <c r="H24" s="40"/>
      <c r="I24" s="40"/>
      <c r="J24" s="41">
        <f>+J13+J14+J15+J16</f>
        <v>-10392.689999999944</v>
      </c>
      <c r="K24" s="40"/>
      <c r="L24" s="40"/>
      <c r="M24" s="40"/>
      <c r="N24" s="41">
        <f>+N13+N14+N15+N16</f>
        <v>3061350.6700000004</v>
      </c>
      <c r="O24" s="41">
        <f>+N24+J24</f>
        <v>3050957.9800000004</v>
      </c>
      <c r="P24" s="40"/>
      <c r="Q24" s="40" t="s">
        <v>54</v>
      </c>
      <c r="R24" s="41">
        <f>+R13+R14+R15+R16</f>
        <v>-192.8073099998891</v>
      </c>
      <c r="S24" s="15"/>
      <c r="T24" s="15"/>
      <c r="U24" s="41">
        <f>+U13+U14+U15+U16</f>
        <v>615.59262000016679</v>
      </c>
      <c r="V24" s="15"/>
    </row>
    <row r="25" spans="1:22" x14ac:dyDescent="0.25">
      <c r="G25" s="40" t="s">
        <v>55</v>
      </c>
      <c r="H25" s="40"/>
      <c r="I25" s="40"/>
      <c r="J25" s="41">
        <f>+J6+J17+J18+J8</f>
        <v>49784.219999999972</v>
      </c>
      <c r="K25" s="40"/>
      <c r="L25" s="40"/>
      <c r="M25" s="40"/>
      <c r="N25" s="41">
        <f>+N6+N17+N18+N8</f>
        <v>1859027.72</v>
      </c>
      <c r="O25" s="41">
        <f t="shared" ref="O25:O28" si="12">+N25+J25</f>
        <v>1908811.94</v>
      </c>
      <c r="P25" s="40"/>
      <c r="Q25" s="40" t="s">
        <v>55</v>
      </c>
      <c r="R25" s="41">
        <f>+R6+R17+R18+R8</f>
        <v>-176.91935999999572</v>
      </c>
      <c r="S25" s="15"/>
      <c r="T25" s="15"/>
      <c r="U25" s="41">
        <f>+U6+U17+U18+U8</f>
        <v>-384.11085000002225</v>
      </c>
      <c r="V25" s="15"/>
    </row>
    <row r="26" spans="1:22" x14ac:dyDescent="0.25">
      <c r="G26" s="40" t="s">
        <v>56</v>
      </c>
      <c r="H26" s="40"/>
      <c r="I26" s="40"/>
      <c r="J26" s="41">
        <f>+J9+J11</f>
        <v>41832.560000000019</v>
      </c>
      <c r="K26" s="40"/>
      <c r="L26" s="40"/>
      <c r="M26" s="40"/>
      <c r="N26" s="41">
        <f>+N9+N11</f>
        <v>259983.66</v>
      </c>
      <c r="O26" s="41">
        <f t="shared" si="12"/>
        <v>301816.22000000003</v>
      </c>
      <c r="P26" s="40"/>
      <c r="Q26" s="40" t="s">
        <v>56</v>
      </c>
      <c r="R26" s="41">
        <f>+R9+R11</f>
        <v>-1.0986799999845971</v>
      </c>
      <c r="S26" s="15"/>
      <c r="T26" s="15"/>
      <c r="U26" s="41">
        <f>+U9+U11</f>
        <v>-151.7126499999672</v>
      </c>
      <c r="V26" s="15"/>
    </row>
    <row r="27" spans="1:22" x14ac:dyDescent="0.25">
      <c r="G27" s="40" t="s">
        <v>57</v>
      </c>
      <c r="H27" s="40"/>
      <c r="I27" s="40"/>
      <c r="J27" s="41">
        <f>+J7+J10</f>
        <v>75052.239999999991</v>
      </c>
      <c r="K27" s="40"/>
      <c r="L27" s="40"/>
      <c r="M27" s="40"/>
      <c r="N27" s="41">
        <f>+N7+N10</f>
        <v>101411.1</v>
      </c>
      <c r="O27" s="41">
        <f t="shared" si="12"/>
        <v>176463.34</v>
      </c>
      <c r="P27" s="40"/>
      <c r="Q27" s="40" t="s">
        <v>57</v>
      </c>
      <c r="R27" s="41">
        <f>+R7+R10</f>
        <v>-8.9999999909196049E-4</v>
      </c>
      <c r="S27" s="15"/>
      <c r="T27" s="15"/>
      <c r="U27" s="41">
        <f>+U7+U10</f>
        <v>-649.85923999999795</v>
      </c>
      <c r="V27" s="15"/>
    </row>
    <row r="28" spans="1:22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383900.22</v>
      </c>
      <c r="O28" s="41">
        <f t="shared" si="12"/>
        <v>383900.22</v>
      </c>
      <c r="P28" s="40"/>
      <c r="Q28" s="40" t="s">
        <v>58</v>
      </c>
      <c r="R28" s="41">
        <f>+R12</f>
        <v>2.9999995604157448E-4</v>
      </c>
      <c r="S28" s="15"/>
      <c r="T28" s="15"/>
      <c r="U28" s="41">
        <f>+U12</f>
        <v>2.9999995604157448E-4</v>
      </c>
      <c r="V28" s="15"/>
    </row>
    <row r="29" spans="1:22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5821949.6999999993</v>
      </c>
      <c r="P29" s="41">
        <f>+O29-F19</f>
        <v>0</v>
      </c>
      <c r="Q29" s="40"/>
      <c r="R29" s="40"/>
      <c r="S29" s="15"/>
      <c r="T29" s="15"/>
      <c r="U29" s="15"/>
      <c r="V29" s="15"/>
    </row>
    <row r="30" spans="1:22" x14ac:dyDescent="0.25">
      <c r="J30" s="42"/>
      <c r="K30" s="43"/>
      <c r="N30" s="43"/>
      <c r="O30" s="44"/>
    </row>
    <row r="31" spans="1:22" x14ac:dyDescent="0.25">
      <c r="J31" s="42"/>
      <c r="K31" s="43"/>
      <c r="N31" s="43"/>
      <c r="O31" s="21"/>
    </row>
    <row r="32" spans="1:22" x14ac:dyDescent="0.25">
      <c r="N32" s="15"/>
    </row>
    <row r="33" spans="10:14" x14ac:dyDescent="0.25">
      <c r="J33" s="38"/>
      <c r="N33" s="38"/>
    </row>
    <row r="34" spans="10:14" x14ac:dyDescent="0.25">
      <c r="J34" s="38"/>
      <c r="N34" s="38"/>
    </row>
  </sheetData>
  <mergeCells count="5">
    <mergeCell ref="A19:D19"/>
    <mergeCell ref="A1:C1"/>
    <mergeCell ref="I4:J4"/>
    <mergeCell ref="M4:N4"/>
    <mergeCell ref="A3:C4"/>
  </mergeCells>
  <phoneticPr fontId="6" type="noConversion"/>
  <pageMargins left="0.75" right="0.75" top="1" bottom="1" header="0.5" footer="0.5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31"/>
  <sheetViews>
    <sheetView showGridLines="0" zoomScaleNormal="100" workbookViewId="0">
      <selection activeCell="A2" sqref="A2:XFD29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2.5703125" bestFit="1" customWidth="1"/>
    <col min="8" max="8" width="2.5703125" customWidth="1"/>
    <col min="9" max="9" width="7.42578125" bestFit="1" customWidth="1"/>
    <col min="10" max="10" width="12.42578125" bestFit="1" customWidth="1"/>
    <col min="11" max="11" width="7" style="15" bestFit="1" customWidth="1"/>
    <col min="12" max="12" width="2.7109375" customWidth="1"/>
    <col min="13" max="13" width="8.140625" bestFit="1" customWidth="1"/>
    <col min="14" max="14" width="14.85546875" bestFit="1" customWidth="1"/>
    <col min="15" max="15" width="15.85546875" style="15" bestFit="1" customWidth="1"/>
    <col min="16" max="16" width="8.85546875" bestFit="1" customWidth="1"/>
    <col min="17" max="17" width="13.85546875" bestFit="1" customWidth="1"/>
    <col min="18" max="18" width="9.28515625" bestFit="1" customWidth="1"/>
    <col min="19" max="19" width="12" bestFit="1" customWidth="1"/>
    <col min="20" max="21" width="10.28515625" bestFit="1" customWidth="1"/>
  </cols>
  <sheetData>
    <row r="1" spans="1:21" ht="15.75" x14ac:dyDescent="0.25">
      <c r="A1" s="57" t="s">
        <v>38</v>
      </c>
      <c r="B1" s="57"/>
      <c r="C1" s="57"/>
    </row>
    <row r="2" spans="1:21" ht="15.75" thickBot="1" x14ac:dyDescent="0.3">
      <c r="A2" s="1"/>
    </row>
    <row r="3" spans="1:21" ht="15.75" thickBot="1" x14ac:dyDescent="0.3">
      <c r="A3" s="49"/>
      <c r="B3" s="50"/>
      <c r="C3" s="51"/>
      <c r="D3" s="3" t="s">
        <v>1</v>
      </c>
      <c r="E3" s="6" t="s">
        <v>45</v>
      </c>
      <c r="F3" s="6" t="s">
        <v>45</v>
      </c>
      <c r="I3" s="6" t="s">
        <v>45</v>
      </c>
      <c r="J3" s="6" t="s">
        <v>45</v>
      </c>
      <c r="M3" s="6" t="s">
        <v>45</v>
      </c>
      <c r="N3" s="6" t="s">
        <v>45</v>
      </c>
    </row>
    <row r="4" spans="1:21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39</v>
      </c>
      <c r="J4" s="72"/>
      <c r="K4" s="24"/>
      <c r="M4" s="55" t="s">
        <v>40</v>
      </c>
      <c r="N4" s="56"/>
      <c r="O4" s="24"/>
    </row>
    <row r="5" spans="1:21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1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f>2738457+1451</f>
        <v>2739908</v>
      </c>
      <c r="F6" s="31">
        <f>1536984.4+814.64</f>
        <v>1537799.0399999998</v>
      </c>
      <c r="G6" s="11">
        <f>+F6/E6</f>
        <v>0.56125937075259458</v>
      </c>
      <c r="H6" s="11"/>
      <c r="I6" s="25">
        <f>E6-M6</f>
        <v>73987</v>
      </c>
      <c r="J6" s="10">
        <f>F6-N6</f>
        <v>41077.029999999795</v>
      </c>
      <c r="K6" s="23">
        <f t="shared" ref="K6:K10" si="0">IFERROR(J6/I6,0)</f>
        <v>0.55519253382350675</v>
      </c>
      <c r="M6" s="29">
        <v>2665921</v>
      </c>
      <c r="N6" s="31">
        <v>1496722.01</v>
      </c>
      <c r="O6" s="23">
        <f t="shared" ref="O6:O10" si="1">IFERROR(N6/M6,0)</f>
        <v>0.56142774298263154</v>
      </c>
      <c r="P6" s="39">
        <f>+K6-O6</f>
        <v>-6.2352091591247882E-3</v>
      </c>
      <c r="Q6" s="45">
        <f t="shared" ref="Q6:Q17" si="2">+M6*$M$4</f>
        <v>1496728.02703</v>
      </c>
      <c r="R6" s="21">
        <f>+N6-Q6</f>
        <v>-6.0170299999881536</v>
      </c>
      <c r="S6" s="45">
        <f>+I6*$M$4</f>
        <v>41538.521410000001</v>
      </c>
      <c r="T6" s="21">
        <f>-S6+J6</f>
        <v>-461.49141000020609</v>
      </c>
      <c r="U6" s="21">
        <f>+R6+T6</f>
        <v>-467.50844000019424</v>
      </c>
    </row>
    <row r="7" spans="1:21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60214</v>
      </c>
      <c r="F7" s="31">
        <v>33805.94</v>
      </c>
      <c r="G7" s="11">
        <f t="shared" ref="G7:G18" si="3">+F7/E7</f>
        <v>0.56142990002325044</v>
      </c>
      <c r="H7" s="11"/>
      <c r="I7" s="25">
        <f t="shared" ref="I7:J18" si="4">E7-M7</f>
        <v>0</v>
      </c>
      <c r="J7" s="10">
        <f t="shared" si="4"/>
        <v>0</v>
      </c>
      <c r="K7" s="23">
        <f t="shared" si="0"/>
        <v>0</v>
      </c>
      <c r="M7" s="29">
        <v>60214</v>
      </c>
      <c r="N7" s="31">
        <v>33805.94</v>
      </c>
      <c r="O7" s="23">
        <f t="shared" si="1"/>
        <v>0.56142990002325044</v>
      </c>
      <c r="P7" s="39">
        <f t="shared" ref="P7:P13" si="5">+K7-O7</f>
        <v>-0.56142990002325044</v>
      </c>
      <c r="Q7" s="45">
        <f t="shared" si="2"/>
        <v>33805.946019999996</v>
      </c>
      <c r="R7" s="21">
        <f t="shared" ref="R7:R18" si="6">+N7-Q7</f>
        <v>-6.0199999934411608E-3</v>
      </c>
      <c r="S7" s="45">
        <f t="shared" ref="S7:S18" si="7">+I7*$M$4</f>
        <v>0</v>
      </c>
      <c r="T7" s="21">
        <f t="shared" ref="T7:T18" si="8">-S7+J7</f>
        <v>0</v>
      </c>
      <c r="U7" s="21">
        <f t="shared" ref="U7:U18" si="9">+R7+T7</f>
        <v>-6.0199999934411608E-3</v>
      </c>
    </row>
    <row r="8" spans="1:21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29">
        <v>1454</v>
      </c>
      <c r="F8" s="31">
        <v>816.32</v>
      </c>
      <c r="G8" s="11">
        <f t="shared" si="3"/>
        <v>0.56143053645116925</v>
      </c>
      <c r="H8" s="12"/>
      <c r="I8" s="25">
        <f t="shared" si="4"/>
        <v>0</v>
      </c>
      <c r="J8" s="10">
        <f t="shared" si="4"/>
        <v>0</v>
      </c>
      <c r="K8" s="23">
        <f t="shared" si="0"/>
        <v>0</v>
      </c>
      <c r="M8" s="29">
        <v>1454</v>
      </c>
      <c r="N8" s="31">
        <v>816.32</v>
      </c>
      <c r="O8" s="23">
        <f t="shared" si="1"/>
        <v>0.56143053645116925</v>
      </c>
      <c r="P8" s="39"/>
      <c r="Q8" s="45">
        <f t="shared" si="2"/>
        <v>816.31921999999997</v>
      </c>
      <c r="R8" s="21">
        <f t="shared" si="6"/>
        <v>7.8000000007705239E-4</v>
      </c>
      <c r="S8" s="45">
        <f t="shared" si="7"/>
        <v>0</v>
      </c>
      <c r="T8" s="21">
        <f t="shared" si="8"/>
        <v>0</v>
      </c>
      <c r="U8" s="21">
        <f t="shared" si="9"/>
        <v>7.8000000007705239E-4</v>
      </c>
    </row>
    <row r="9" spans="1:21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342541</v>
      </c>
      <c r="F9" s="31">
        <v>192312.76</v>
      </c>
      <c r="G9" s="11">
        <f t="shared" si="3"/>
        <v>0.56142990182197172</v>
      </c>
      <c r="H9" s="11"/>
      <c r="I9" s="25">
        <f t="shared" si="4"/>
        <v>4690</v>
      </c>
      <c r="J9" s="10">
        <f t="shared" si="4"/>
        <v>2633.0800000000163</v>
      </c>
      <c r="K9" s="23">
        <f t="shared" si="0"/>
        <v>0.56142430703625079</v>
      </c>
      <c r="M9" s="29">
        <v>337851</v>
      </c>
      <c r="N9" s="31">
        <v>189679.68</v>
      </c>
      <c r="O9" s="23">
        <f t="shared" si="1"/>
        <v>0.56142997948799911</v>
      </c>
      <c r="P9" s="39">
        <f t="shared" si="5"/>
        <v>-5.6724517483175418E-6</v>
      </c>
      <c r="Q9" s="45">
        <f t="shared" si="2"/>
        <v>189679.68693</v>
      </c>
      <c r="R9" s="21">
        <f t="shared" si="6"/>
        <v>-6.9300000031944364E-3</v>
      </c>
      <c r="S9" s="45">
        <f t="shared" si="7"/>
        <v>2633.1066999999998</v>
      </c>
      <c r="T9" s="21">
        <f t="shared" si="8"/>
        <v>-2.6699999983520684E-2</v>
      </c>
      <c r="U9" s="21">
        <f t="shared" si="9"/>
        <v>-3.362999998671512E-2</v>
      </c>
    </row>
    <row r="10" spans="1:21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115128</v>
      </c>
      <c r="F10" s="31">
        <v>64636.32</v>
      </c>
      <c r="G10" s="11">
        <f t="shared" si="3"/>
        <v>0.56143006045445065</v>
      </c>
      <c r="H10" s="11"/>
      <c r="I10" s="25">
        <f t="shared" si="4"/>
        <v>25584</v>
      </c>
      <c r="J10" s="10">
        <f t="shared" si="4"/>
        <v>14363.629999999997</v>
      </c>
      <c r="K10" s="23">
        <f t="shared" si="0"/>
        <v>0.56143019074421507</v>
      </c>
      <c r="M10" s="29">
        <v>89544</v>
      </c>
      <c r="N10" s="31">
        <v>50272.69</v>
      </c>
      <c r="O10" s="23">
        <f t="shared" si="1"/>
        <v>0.56143002322880375</v>
      </c>
      <c r="P10" s="39">
        <f t="shared" si="5"/>
        <v>1.6751541132009606E-7</v>
      </c>
      <c r="Q10" s="45">
        <f t="shared" si="2"/>
        <v>50272.687919999997</v>
      </c>
      <c r="R10" s="21">
        <f t="shared" si="6"/>
        <v>2.0800000056624413E-3</v>
      </c>
      <c r="S10" s="45">
        <f t="shared" si="7"/>
        <v>14363.625119999999</v>
      </c>
      <c r="T10" s="21">
        <f t="shared" si="8"/>
        <v>4.8799999985931208E-3</v>
      </c>
      <c r="U10" s="21">
        <f t="shared" si="9"/>
        <v>6.9600000042555621E-3</v>
      </c>
    </row>
    <row r="11" spans="1:21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407</v>
      </c>
      <c r="F11" s="31">
        <v>228.5</v>
      </c>
      <c r="G11" s="11">
        <f t="shared" si="3"/>
        <v>0.56142506142506143</v>
      </c>
      <c r="H11" s="12"/>
      <c r="I11" s="25">
        <f t="shared" ref="I11" si="10">E11-M11</f>
        <v>0</v>
      </c>
      <c r="J11" s="10">
        <f t="shared" ref="J11" si="11">F11-N11</f>
        <v>0</v>
      </c>
      <c r="K11" s="23">
        <f>IFERROR(J11/I11,0)</f>
        <v>0</v>
      </c>
      <c r="M11" s="29">
        <v>407</v>
      </c>
      <c r="N11" s="31">
        <v>228.5</v>
      </c>
      <c r="O11" s="23">
        <f>IFERROR(N11/M11,0)</f>
        <v>0.56142506142506143</v>
      </c>
      <c r="P11" s="39"/>
      <c r="Q11" s="45">
        <f t="shared" si="2"/>
        <v>228.50200999999998</v>
      </c>
      <c r="R11" s="21">
        <f t="shared" si="6"/>
        <v>-2.0099999999843021E-3</v>
      </c>
      <c r="S11" s="45">
        <f t="shared" si="7"/>
        <v>0</v>
      </c>
      <c r="T11" s="21">
        <f t="shared" si="8"/>
        <v>0</v>
      </c>
      <c r="U11" s="21">
        <f t="shared" si="9"/>
        <v>-2.0099999999843021E-3</v>
      </c>
    </row>
    <row r="12" spans="1:21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32">
        <v>615540</v>
      </c>
      <c r="F12" s="32">
        <v>345582.62</v>
      </c>
      <c r="G12" s="11">
        <f t="shared" si="3"/>
        <v>0.56142999642590241</v>
      </c>
      <c r="H12" s="11"/>
      <c r="I12" s="25">
        <f t="shared" si="4"/>
        <v>0</v>
      </c>
      <c r="J12" s="10">
        <f t="shared" si="4"/>
        <v>0</v>
      </c>
      <c r="K12" s="23">
        <f t="shared" ref="K12:K18" si="12">IFERROR(J12/I12,0)</f>
        <v>0</v>
      </c>
      <c r="M12" s="29">
        <v>615540</v>
      </c>
      <c r="N12" s="31">
        <v>345582.62</v>
      </c>
      <c r="O12" s="23">
        <f t="shared" ref="O12:O18" si="13">IFERROR(N12/M12,0)</f>
        <v>0.56142999642590241</v>
      </c>
      <c r="P12" s="39"/>
      <c r="Q12" s="45">
        <f t="shared" si="2"/>
        <v>345582.62219999998</v>
      </c>
      <c r="R12" s="21">
        <f t="shared" si="6"/>
        <v>-2.199999988079071E-3</v>
      </c>
      <c r="S12" s="45">
        <f t="shared" si="7"/>
        <v>0</v>
      </c>
      <c r="T12" s="21">
        <f t="shared" si="8"/>
        <v>0</v>
      </c>
      <c r="U12" s="21">
        <f t="shared" si="9"/>
        <v>-2.199999988079071E-3</v>
      </c>
    </row>
    <row r="13" spans="1:21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3837828</v>
      </c>
      <c r="F13" s="31">
        <v>2155030.2000000002</v>
      </c>
      <c r="G13" s="11">
        <f t="shared" si="3"/>
        <v>0.5615233929191199</v>
      </c>
      <c r="H13" s="11"/>
      <c r="I13" s="25">
        <f t="shared" si="4"/>
        <v>-22390</v>
      </c>
      <c r="J13" s="10">
        <f t="shared" si="4"/>
        <v>-12167.879999999888</v>
      </c>
      <c r="K13" s="23">
        <f t="shared" si="12"/>
        <v>0.5434515408664532</v>
      </c>
      <c r="M13" s="29">
        <v>3860218</v>
      </c>
      <c r="N13" s="31">
        <v>2167198.08</v>
      </c>
      <c r="O13" s="23">
        <f t="shared" si="13"/>
        <v>0.56141857273345708</v>
      </c>
      <c r="P13" s="39">
        <f t="shared" si="5"/>
        <v>-1.796703186700388E-2</v>
      </c>
      <c r="Q13" s="45">
        <f t="shared" si="2"/>
        <v>2167242.1917400002</v>
      </c>
      <c r="R13" s="21">
        <f t="shared" si="6"/>
        <v>-44.111740000080317</v>
      </c>
      <c r="S13" s="45">
        <f t="shared" si="7"/>
        <v>-12570.4177</v>
      </c>
      <c r="T13" s="21">
        <f t="shared" si="8"/>
        <v>402.53770000011173</v>
      </c>
      <c r="U13" s="21">
        <f t="shared" si="9"/>
        <v>358.42596000003141</v>
      </c>
    </row>
    <row r="14" spans="1:21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32">
        <v>49</v>
      </c>
      <c r="F14" s="32">
        <v>27.51</v>
      </c>
      <c r="G14" s="11">
        <f t="shared" si="3"/>
        <v>0.5614285714285715</v>
      </c>
      <c r="H14" s="11"/>
      <c r="I14" s="25">
        <f t="shared" si="4"/>
        <v>0</v>
      </c>
      <c r="J14" s="10">
        <f t="shared" si="4"/>
        <v>0</v>
      </c>
      <c r="K14" s="23">
        <f t="shared" si="12"/>
        <v>0</v>
      </c>
      <c r="M14" s="29">
        <v>49</v>
      </c>
      <c r="N14" s="31">
        <v>27.51</v>
      </c>
      <c r="O14" s="23">
        <f t="shared" si="13"/>
        <v>0.5614285714285715</v>
      </c>
      <c r="P14" s="39"/>
      <c r="Q14" s="45">
        <f t="shared" si="2"/>
        <v>27.510069999999999</v>
      </c>
      <c r="R14" s="21">
        <f t="shared" si="6"/>
        <v>-6.999999999734996E-5</v>
      </c>
      <c r="S14" s="45">
        <f t="shared" si="7"/>
        <v>0</v>
      </c>
      <c r="T14" s="21">
        <f t="shared" si="8"/>
        <v>0</v>
      </c>
      <c r="U14" s="21">
        <f t="shared" si="9"/>
        <v>-6.999999999734996E-5</v>
      </c>
    </row>
    <row r="15" spans="1:21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345</v>
      </c>
      <c r="F15" s="31">
        <v>193.69</v>
      </c>
      <c r="G15" s="11">
        <f t="shared" si="3"/>
        <v>0.56142028985507242</v>
      </c>
      <c r="H15" s="11"/>
      <c r="I15" s="25">
        <f t="shared" si="4"/>
        <v>0</v>
      </c>
      <c r="J15" s="10">
        <f t="shared" si="4"/>
        <v>0</v>
      </c>
      <c r="K15" s="23">
        <f t="shared" si="12"/>
        <v>0</v>
      </c>
      <c r="M15" s="29">
        <v>345</v>
      </c>
      <c r="N15" s="31">
        <v>193.69</v>
      </c>
      <c r="O15" s="23">
        <f t="shared" si="13"/>
        <v>0.56142028985507242</v>
      </c>
      <c r="P15" s="39"/>
      <c r="Q15" s="45">
        <f t="shared" si="2"/>
        <v>193.69334999999998</v>
      </c>
      <c r="R15" s="21">
        <f t="shared" si="6"/>
        <v>-3.3499999999833108E-3</v>
      </c>
      <c r="S15" s="45">
        <f t="shared" si="7"/>
        <v>0</v>
      </c>
      <c r="T15" s="21">
        <f t="shared" si="8"/>
        <v>0</v>
      </c>
      <c r="U15" s="21">
        <f t="shared" si="9"/>
        <v>-3.3499999999833108E-3</v>
      </c>
    </row>
    <row r="16" spans="1:21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32">
        <v>32</v>
      </c>
      <c r="F16" s="32">
        <v>17.97</v>
      </c>
      <c r="G16" s="11">
        <f t="shared" si="3"/>
        <v>0.56156249999999996</v>
      </c>
      <c r="H16" s="11"/>
      <c r="I16" s="25">
        <f t="shared" si="4"/>
        <v>0</v>
      </c>
      <c r="J16" s="10">
        <f t="shared" si="4"/>
        <v>0</v>
      </c>
      <c r="K16" s="23">
        <f t="shared" si="12"/>
        <v>0</v>
      </c>
      <c r="M16" s="29">
        <v>32</v>
      </c>
      <c r="N16" s="31">
        <v>17.97</v>
      </c>
      <c r="O16" s="23">
        <f t="shared" si="13"/>
        <v>0.56156249999999996</v>
      </c>
      <c r="P16" s="39"/>
      <c r="Q16" s="45">
        <f t="shared" si="2"/>
        <v>17.96576</v>
      </c>
      <c r="R16" s="21">
        <f t="shared" si="6"/>
        <v>4.2399999999993554E-3</v>
      </c>
      <c r="S16" s="45">
        <f t="shared" si="7"/>
        <v>0</v>
      </c>
      <c r="T16" s="21">
        <f t="shared" si="8"/>
        <v>0</v>
      </c>
      <c r="U16" s="21">
        <f t="shared" si="9"/>
        <v>4.2399999999993554E-3</v>
      </c>
    </row>
    <row r="17" spans="1:21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31">
        <v>200.99</v>
      </c>
      <c r="G17" s="11">
        <f t="shared" si="3"/>
        <v>0.56142458100558656</v>
      </c>
      <c r="H17" s="11"/>
      <c r="I17" s="25">
        <f t="shared" si="4"/>
        <v>0</v>
      </c>
      <c r="J17" s="10">
        <f t="shared" si="4"/>
        <v>0</v>
      </c>
      <c r="K17" s="23">
        <f t="shared" si="12"/>
        <v>0</v>
      </c>
      <c r="M17" s="29">
        <v>358</v>
      </c>
      <c r="N17" s="31">
        <v>200.99</v>
      </c>
      <c r="O17" s="23">
        <f t="shared" si="13"/>
        <v>0.56142458100558656</v>
      </c>
      <c r="P17" s="39"/>
      <c r="Q17" s="45">
        <f t="shared" si="2"/>
        <v>200.99194</v>
      </c>
      <c r="R17" s="21">
        <f t="shared" si="6"/>
        <v>-1.9399999999905049E-3</v>
      </c>
      <c r="S17" s="45">
        <f t="shared" si="7"/>
        <v>0</v>
      </c>
      <c r="T17" s="21">
        <f t="shared" si="8"/>
        <v>0</v>
      </c>
      <c r="U17" s="21">
        <f t="shared" si="9"/>
        <v>-1.9399999999905049E-3</v>
      </c>
    </row>
    <row r="18" spans="1:21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32">
        <v>635</v>
      </c>
      <c r="F18" s="32">
        <v>354.95</v>
      </c>
      <c r="G18" s="11">
        <f t="shared" si="3"/>
        <v>0.5589763779527559</v>
      </c>
      <c r="H18" s="11"/>
      <c r="I18" s="25">
        <f t="shared" si="4"/>
        <v>23</v>
      </c>
      <c r="J18" s="10">
        <f t="shared" si="4"/>
        <v>12.229999999999961</v>
      </c>
      <c r="K18" s="23">
        <f t="shared" si="12"/>
        <v>0.53173913043478094</v>
      </c>
      <c r="M18" s="29">
        <v>612</v>
      </c>
      <c r="N18" s="31">
        <v>342.72</v>
      </c>
      <c r="O18" s="23">
        <f t="shared" si="13"/>
        <v>0.56000000000000005</v>
      </c>
      <c r="P18" s="39"/>
      <c r="Q18" s="45">
        <f>+M18*$M$4</f>
        <v>343.59515999999996</v>
      </c>
      <c r="R18" s="21">
        <f t="shared" si="6"/>
        <v>-0.8751599999999371</v>
      </c>
      <c r="S18" s="45">
        <f t="shared" si="7"/>
        <v>12.912889999999999</v>
      </c>
      <c r="T18" s="21">
        <f t="shared" si="8"/>
        <v>-0.68289000000003774</v>
      </c>
      <c r="U18" s="21">
        <f t="shared" si="9"/>
        <v>-1.5580499999999748</v>
      </c>
    </row>
    <row r="19" spans="1:21" ht="15.75" thickBot="1" x14ac:dyDescent="0.3">
      <c r="A19" s="46" t="s">
        <v>2</v>
      </c>
      <c r="B19" s="47"/>
      <c r="C19" s="47"/>
      <c r="D19" s="48"/>
      <c r="E19" s="7">
        <f>SUM(E6:E18)</f>
        <v>7714439</v>
      </c>
      <c r="F19" s="9">
        <f>SUM(F6:F18)</f>
        <v>4331006.8100000005</v>
      </c>
      <c r="I19" s="26">
        <f>SUM(I6:I18)</f>
        <v>81894</v>
      </c>
      <c r="J19" s="9">
        <f>SUM(J6:J18)</f>
        <v>45918.089999999924</v>
      </c>
      <c r="M19" s="7">
        <f>SUM(M6:M18)</f>
        <v>7632545</v>
      </c>
      <c r="N19" s="9">
        <f>SUM(N6:N18)</f>
        <v>4285088.72</v>
      </c>
      <c r="P19" s="15"/>
      <c r="Q19" s="15"/>
      <c r="R19" s="21">
        <f>SUM(R6:R18)</f>
        <v>-51.019350000047339</v>
      </c>
      <c r="S19" s="15"/>
      <c r="T19" s="15"/>
      <c r="U19" s="15"/>
    </row>
    <row r="20" spans="1:21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5"/>
      <c r="T20" s="15"/>
      <c r="U20" s="15"/>
    </row>
    <row r="21" spans="1:21" x14ac:dyDescent="0.25">
      <c r="G21" s="40"/>
      <c r="H21" s="40"/>
      <c r="I21" s="40"/>
      <c r="J21" s="40"/>
      <c r="K21" s="40"/>
      <c r="L21" s="40"/>
      <c r="M21" s="40"/>
      <c r="N21" s="41">
        <f>+N19+J19</f>
        <v>4331006.8099999996</v>
      </c>
      <c r="O21" s="40"/>
      <c r="P21" s="40"/>
      <c r="Q21" s="40"/>
      <c r="R21" s="40"/>
      <c r="S21" s="15"/>
      <c r="T21" s="15"/>
      <c r="U21" s="15"/>
    </row>
    <row r="22" spans="1:21" x14ac:dyDescent="0.25">
      <c r="G22" s="40"/>
      <c r="H22" s="40"/>
      <c r="I22" s="40"/>
      <c r="J22" s="40"/>
      <c r="K22" s="40"/>
      <c r="L22" s="40"/>
      <c r="M22" s="40"/>
      <c r="N22" s="41">
        <f>+F19-N21</f>
        <v>0</v>
      </c>
      <c r="O22" s="40"/>
      <c r="P22" s="40"/>
      <c r="Q22" s="40"/>
      <c r="R22" s="40"/>
      <c r="S22" s="15"/>
      <c r="T22" s="15"/>
      <c r="U22" s="15"/>
    </row>
    <row r="23" spans="1:21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  <c r="T23" s="15"/>
      <c r="U23" s="15"/>
    </row>
    <row r="24" spans="1:21" x14ac:dyDescent="0.25">
      <c r="G24" s="40" t="s">
        <v>54</v>
      </c>
      <c r="H24" s="40"/>
      <c r="I24" s="40"/>
      <c r="J24" s="41">
        <f>+J13+J14+J15+J16</f>
        <v>-12167.879999999888</v>
      </c>
      <c r="K24" s="40"/>
      <c r="L24" s="40"/>
      <c r="M24" s="40"/>
      <c r="N24" s="41">
        <f>+N13+N14+N15+N16</f>
        <v>2167437.25</v>
      </c>
      <c r="O24" s="41">
        <f>+N24+J24</f>
        <v>2155269.37</v>
      </c>
      <c r="P24" s="40"/>
      <c r="Q24" s="40" t="s">
        <v>54</v>
      </c>
      <c r="R24" s="41">
        <f>+R13+R14+R15+R16</f>
        <v>-44.110920000080299</v>
      </c>
      <c r="S24" s="15"/>
      <c r="T24" s="15"/>
      <c r="U24" s="41">
        <f>+U13+U14+U15+U16</f>
        <v>358.42678000003139</v>
      </c>
    </row>
    <row r="25" spans="1:21" x14ac:dyDescent="0.25">
      <c r="G25" s="40" t="s">
        <v>55</v>
      </c>
      <c r="H25" s="40"/>
      <c r="I25" s="40"/>
      <c r="J25" s="41">
        <f>+J6+J17+J18+J8</f>
        <v>41089.259999999798</v>
      </c>
      <c r="K25" s="40"/>
      <c r="L25" s="40"/>
      <c r="M25" s="40"/>
      <c r="N25" s="41">
        <f>+N6+N17+N18+N8</f>
        <v>1498082.04</v>
      </c>
      <c r="O25" s="41">
        <f t="shared" ref="O25:O28" si="14">+N25+J25</f>
        <v>1539171.2999999998</v>
      </c>
      <c r="P25" s="40"/>
      <c r="Q25" s="40" t="s">
        <v>55</v>
      </c>
      <c r="R25" s="41">
        <f>+R6+R17+R18+R8</f>
        <v>-6.8933499999880041</v>
      </c>
      <c r="S25" s="15"/>
      <c r="T25" s="15"/>
      <c r="U25" s="41">
        <f>+U6+U17+U18+U8</f>
        <v>-469.06765000019413</v>
      </c>
    </row>
    <row r="26" spans="1:21" x14ac:dyDescent="0.25">
      <c r="G26" s="40" t="s">
        <v>56</v>
      </c>
      <c r="H26" s="40"/>
      <c r="I26" s="40"/>
      <c r="J26" s="41">
        <f>+J9+J11</f>
        <v>2633.0800000000163</v>
      </c>
      <c r="K26" s="40"/>
      <c r="L26" s="40"/>
      <c r="M26" s="40"/>
      <c r="N26" s="41">
        <f>+N9+N11</f>
        <v>189908.18</v>
      </c>
      <c r="O26" s="41">
        <f t="shared" si="14"/>
        <v>192541.26</v>
      </c>
      <c r="P26" s="40"/>
      <c r="Q26" s="40" t="s">
        <v>56</v>
      </c>
      <c r="R26" s="41">
        <f>+R9+R11</f>
        <v>-8.9400000031787386E-3</v>
      </c>
      <c r="S26" s="15"/>
      <c r="T26" s="15"/>
      <c r="U26" s="41">
        <f>+U9+U11</f>
        <v>-3.5639999986699422E-2</v>
      </c>
    </row>
    <row r="27" spans="1:21" x14ac:dyDescent="0.25">
      <c r="G27" s="40" t="s">
        <v>57</v>
      </c>
      <c r="H27" s="40"/>
      <c r="I27" s="40"/>
      <c r="J27" s="41">
        <f>+J7+J10</f>
        <v>14363.629999999997</v>
      </c>
      <c r="K27" s="40"/>
      <c r="L27" s="40"/>
      <c r="M27" s="40"/>
      <c r="N27" s="41">
        <f>+N7+N10</f>
        <v>84078.63</v>
      </c>
      <c r="O27" s="41">
        <f t="shared" si="14"/>
        <v>98442.260000000009</v>
      </c>
      <c r="P27" s="40"/>
      <c r="Q27" s="40" t="s">
        <v>57</v>
      </c>
      <c r="R27" s="41">
        <f>+R7+R10</f>
        <v>-3.9399999877787195E-3</v>
      </c>
      <c r="S27" s="15"/>
      <c r="T27" s="15"/>
      <c r="U27" s="41">
        <f>+U7+U10</f>
        <v>9.4000001081440132E-4</v>
      </c>
    </row>
    <row r="28" spans="1:21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345582.62</v>
      </c>
      <c r="O28" s="41">
        <f t="shared" si="14"/>
        <v>345582.62</v>
      </c>
      <c r="P28" s="40"/>
      <c r="Q28" s="40" t="s">
        <v>58</v>
      </c>
      <c r="R28" s="41">
        <f>+R12</f>
        <v>-2.199999988079071E-3</v>
      </c>
      <c r="S28" s="15"/>
      <c r="T28" s="15"/>
      <c r="U28" s="41">
        <f>+U12</f>
        <v>-2.199999988079071E-3</v>
      </c>
    </row>
    <row r="29" spans="1:21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4331006.8099999996</v>
      </c>
      <c r="P29" s="41">
        <f>+O29-F19</f>
        <v>0</v>
      </c>
      <c r="Q29" s="40"/>
      <c r="R29" s="40"/>
      <c r="S29" s="15"/>
      <c r="T29" s="15"/>
      <c r="U29" s="15"/>
    </row>
    <row r="30" spans="1:21" x14ac:dyDescent="0.25">
      <c r="J30" s="42"/>
      <c r="K30" s="43"/>
      <c r="N30" s="43"/>
      <c r="O30" s="44"/>
    </row>
    <row r="31" spans="1:21" x14ac:dyDescent="0.25">
      <c r="J31" s="42"/>
      <c r="K31" s="43"/>
      <c r="N31" s="43"/>
      <c r="O31" s="21"/>
    </row>
  </sheetData>
  <mergeCells count="5">
    <mergeCell ref="A19:D19"/>
    <mergeCell ref="A1:C1"/>
    <mergeCell ref="I4:J4"/>
    <mergeCell ref="M4:N4"/>
    <mergeCell ref="A3:C4"/>
  </mergeCells>
  <phoneticPr fontId="6" type="noConversion"/>
  <pageMargins left="0.75" right="0.75" top="1" bottom="1" header="0.5" footer="0.5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35"/>
  <sheetViews>
    <sheetView showGridLines="0" zoomScaleNormal="100" workbookViewId="0">
      <selection activeCell="A2" sqref="A2:XFD29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1.5703125" bestFit="1" customWidth="1"/>
    <col min="6" max="6" width="12.5703125" bestFit="1" customWidth="1"/>
    <col min="8" max="8" width="2.5703125" customWidth="1"/>
    <col min="9" max="9" width="8.7109375" bestFit="1" customWidth="1"/>
    <col min="10" max="10" width="13" bestFit="1" customWidth="1"/>
    <col min="11" max="11" width="7" style="15" bestFit="1" customWidth="1"/>
    <col min="12" max="12" width="2.7109375" customWidth="1"/>
    <col min="13" max="13" width="8.140625" bestFit="1" customWidth="1"/>
    <col min="14" max="14" width="14.85546875" bestFit="1" customWidth="1"/>
    <col min="15" max="15" width="14.85546875" style="15" bestFit="1" customWidth="1"/>
    <col min="16" max="16" width="6" bestFit="1" customWidth="1"/>
    <col min="17" max="17" width="13.42578125" bestFit="1" customWidth="1"/>
    <col min="18" max="18" width="9.5703125" bestFit="1" customWidth="1"/>
    <col min="19" max="19" width="15.140625" bestFit="1" customWidth="1"/>
  </cols>
  <sheetData>
    <row r="1" spans="1:18" ht="15.75" x14ac:dyDescent="0.25">
      <c r="A1" s="57" t="s">
        <v>38</v>
      </c>
      <c r="B1" s="57"/>
      <c r="C1" s="57"/>
    </row>
    <row r="2" spans="1:18" ht="15.75" thickBot="1" x14ac:dyDescent="0.3">
      <c r="A2" s="1"/>
    </row>
    <row r="3" spans="1:18" ht="15.75" thickBot="1" x14ac:dyDescent="0.3">
      <c r="A3" s="49"/>
      <c r="B3" s="50"/>
      <c r="C3" s="51"/>
      <c r="D3" s="3" t="s">
        <v>1</v>
      </c>
      <c r="E3" s="6" t="s">
        <v>50</v>
      </c>
      <c r="F3" s="6" t="s">
        <v>50</v>
      </c>
      <c r="I3" s="6" t="s">
        <v>50</v>
      </c>
      <c r="J3" s="6" t="s">
        <v>50</v>
      </c>
      <c r="M3" s="6" t="s">
        <v>50</v>
      </c>
      <c r="N3" s="6" t="s">
        <v>50</v>
      </c>
    </row>
    <row r="4" spans="1:18" ht="15.75" customHeight="1" thickBot="1" x14ac:dyDescent="0.3">
      <c r="A4" s="52"/>
      <c r="B4" s="53"/>
      <c r="C4" s="54"/>
      <c r="D4" s="3"/>
      <c r="E4" s="6" t="s">
        <v>3</v>
      </c>
      <c r="F4" s="6" t="s">
        <v>4</v>
      </c>
      <c r="I4" s="73" t="s">
        <v>40</v>
      </c>
      <c r="J4" s="56"/>
      <c r="K4" s="24"/>
      <c r="M4" s="55" t="s">
        <v>51</v>
      </c>
      <c r="N4" s="56"/>
      <c r="O4" s="24"/>
    </row>
    <row r="5" spans="1:18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18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2617959</v>
      </c>
      <c r="F6" s="31">
        <v>1468775.71</v>
      </c>
      <c r="G6" s="11">
        <f>+F6/E6</f>
        <v>0.56103846928084056</v>
      </c>
      <c r="H6" s="11"/>
      <c r="I6" s="25">
        <f>E6-M6</f>
        <v>1389109</v>
      </c>
      <c r="J6" s="10">
        <f>F6-N6</f>
        <v>780010.25</v>
      </c>
      <c r="K6" s="23">
        <f t="shared" ref="K6:K10" si="0">IFERROR(J6/I6,0)</f>
        <v>0.56151839056546315</v>
      </c>
      <c r="M6" s="29">
        <f>17-245+1229078</f>
        <v>1228850</v>
      </c>
      <c r="N6" s="31">
        <f>9.54-129.17+688885.09</f>
        <v>688765.46</v>
      </c>
      <c r="O6" s="23">
        <f t="shared" ref="O6:O10" si="1">IFERROR(N6/M6,0)</f>
        <v>0.560495959637059</v>
      </c>
      <c r="P6" s="39"/>
      <c r="Q6" s="21">
        <f>+I6*$I$4</f>
        <v>779887.46586999996</v>
      </c>
      <c r="R6" s="21">
        <f>+J6-Q6</f>
        <v>122.78413000004366</v>
      </c>
    </row>
    <row r="7" spans="1:18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74440</v>
      </c>
      <c r="F7" s="31">
        <v>41748.53</v>
      </c>
      <c r="G7" s="11">
        <f t="shared" ref="G7:G18" si="2">+F7/E7</f>
        <v>0.5608346319183235</v>
      </c>
      <c r="H7" s="11"/>
      <c r="I7" s="25">
        <f t="shared" ref="I7:J18" si="3">E7-M7</f>
        <v>26784</v>
      </c>
      <c r="J7" s="10">
        <f t="shared" si="3"/>
        <v>15037.34</v>
      </c>
      <c r="K7" s="23">
        <f t="shared" si="0"/>
        <v>0.56142995818399044</v>
      </c>
      <c r="M7" s="29">
        <f>47656</f>
        <v>47656</v>
      </c>
      <c r="N7" s="31">
        <v>26711.19</v>
      </c>
      <c r="O7" s="23">
        <f t="shared" si="1"/>
        <v>0.56050004196743319</v>
      </c>
      <c r="P7" s="39"/>
      <c r="Q7" s="21">
        <f t="shared" ref="Q7:Q18" si="4">+I7*$I$4</f>
        <v>15037.341119999999</v>
      </c>
      <c r="R7" s="21">
        <f t="shared" ref="R7:R18" si="5">+J7-Q7</f>
        <v>-1.1199999989912612E-3</v>
      </c>
    </row>
    <row r="8" spans="1:18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35">
        <v>-226</v>
      </c>
      <c r="F8" s="31">
        <v>-127.07</v>
      </c>
      <c r="G8" s="11">
        <f t="shared" si="2"/>
        <v>0.56225663716814156</v>
      </c>
      <c r="H8" s="12"/>
      <c r="I8" s="25">
        <f t="shared" si="3"/>
        <v>-727</v>
      </c>
      <c r="J8" s="10">
        <f t="shared" si="3"/>
        <v>-408.15999999999997</v>
      </c>
      <c r="K8" s="23">
        <f t="shared" si="0"/>
        <v>0.56143053645116914</v>
      </c>
      <c r="M8" s="29">
        <v>501</v>
      </c>
      <c r="N8" s="31">
        <v>281.08999999999997</v>
      </c>
      <c r="O8" s="23">
        <f t="shared" si="1"/>
        <v>0.56105788423153691</v>
      </c>
      <c r="P8" s="39"/>
      <c r="Q8" s="21">
        <f t="shared" si="4"/>
        <v>-408.15960999999999</v>
      </c>
      <c r="R8" s="21">
        <f t="shared" si="5"/>
        <v>-3.8999999998168278E-4</v>
      </c>
    </row>
    <row r="9" spans="1:18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442454</v>
      </c>
      <c r="F9" s="31">
        <v>248197.34</v>
      </c>
      <c r="G9" s="11">
        <f t="shared" si="2"/>
        <v>0.56095625759966006</v>
      </c>
      <c r="H9" s="11"/>
      <c r="I9" s="25">
        <f t="shared" si="3"/>
        <v>217152</v>
      </c>
      <c r="J9" s="10">
        <f t="shared" si="3"/>
        <v>121915.64</v>
      </c>
      <c r="K9" s="23">
        <f t="shared" si="0"/>
        <v>0.56142996610669027</v>
      </c>
      <c r="M9" s="29">
        <v>225302</v>
      </c>
      <c r="N9" s="31">
        <v>126281.7</v>
      </c>
      <c r="O9" s="23">
        <f t="shared" si="1"/>
        <v>0.56049968486742241</v>
      </c>
      <c r="P9" s="39"/>
      <c r="Q9" s="21">
        <f t="shared" si="4"/>
        <v>121915.64736</v>
      </c>
      <c r="R9" s="21">
        <f t="shared" si="5"/>
        <v>-7.3600000032456592E-3</v>
      </c>
    </row>
    <row r="10" spans="1:18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101147</v>
      </c>
      <c r="F10" s="31">
        <v>56728.99</v>
      </c>
      <c r="G10" s="11">
        <f t="shared" si="2"/>
        <v>0.56085687168180964</v>
      </c>
      <c r="H10" s="11"/>
      <c r="I10" s="25">
        <f t="shared" si="3"/>
        <v>38811</v>
      </c>
      <c r="J10" s="10">
        <f t="shared" si="3"/>
        <v>21789.659999999996</v>
      </c>
      <c r="K10" s="23">
        <f t="shared" si="0"/>
        <v>0.56143000695679046</v>
      </c>
      <c r="M10" s="29">
        <v>62336</v>
      </c>
      <c r="N10" s="31">
        <v>34939.33</v>
      </c>
      <c r="O10" s="23">
        <f t="shared" si="1"/>
        <v>0.56050003208418897</v>
      </c>
      <c r="P10" s="39"/>
      <c r="Q10" s="21">
        <f t="shared" si="4"/>
        <v>21789.659729999999</v>
      </c>
      <c r="R10" s="21">
        <f t="shared" si="5"/>
        <v>2.699999968172051E-4</v>
      </c>
    </row>
    <row r="11" spans="1:18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1463</v>
      </c>
      <c r="F11" s="31">
        <v>820.2</v>
      </c>
      <c r="G11" s="11">
        <f t="shared" si="2"/>
        <v>0.56062884483937114</v>
      </c>
      <c r="H11" s="12"/>
      <c r="I11" s="25">
        <f t="shared" si="3"/>
        <v>0</v>
      </c>
      <c r="J11" s="10">
        <f t="shared" si="3"/>
        <v>0</v>
      </c>
      <c r="K11" s="23">
        <f>IFERROR(J11/I11,0)</f>
        <v>0</v>
      </c>
      <c r="M11" s="29">
        <v>1463</v>
      </c>
      <c r="N11" s="31">
        <v>820.2</v>
      </c>
      <c r="O11" s="23">
        <f>IFERROR(N11/M11,0)</f>
        <v>0.56062884483937114</v>
      </c>
      <c r="P11" s="39"/>
      <c r="Q11" s="21">
        <f t="shared" si="4"/>
        <v>0</v>
      </c>
      <c r="R11" s="21">
        <f t="shared" si="5"/>
        <v>0</v>
      </c>
    </row>
    <row r="12" spans="1:18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32">
        <v>878119</v>
      </c>
      <c r="F12" s="32">
        <v>492185.7</v>
      </c>
      <c r="G12" s="11">
        <f t="shared" si="2"/>
        <v>0.56050000056939897</v>
      </c>
      <c r="H12" s="11"/>
      <c r="I12" s="25">
        <f t="shared" si="3"/>
        <v>0</v>
      </c>
      <c r="J12" s="10">
        <f t="shared" si="3"/>
        <v>0</v>
      </c>
      <c r="K12" s="23">
        <f t="shared" ref="K12:K18" si="6">IFERROR(J12/I12,0)</f>
        <v>0</v>
      </c>
      <c r="M12" s="29">
        <v>878119</v>
      </c>
      <c r="N12" s="31">
        <v>492185.7</v>
      </c>
      <c r="O12" s="23">
        <f t="shared" ref="O12:O18" si="7">IFERROR(N12/M12,0)</f>
        <v>0.56050000056939897</v>
      </c>
      <c r="P12" s="39"/>
      <c r="Q12" s="21">
        <f t="shared" si="4"/>
        <v>0</v>
      </c>
      <c r="R12" s="21">
        <f t="shared" si="5"/>
        <v>0</v>
      </c>
    </row>
    <row r="13" spans="1:18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3590255</v>
      </c>
      <c r="F13" s="31">
        <v>2013890.1</v>
      </c>
      <c r="G13" s="11">
        <f t="shared" si="2"/>
        <v>0.56093232931922665</v>
      </c>
      <c r="H13" s="11"/>
      <c r="I13" s="25">
        <f t="shared" si="3"/>
        <v>1779306</v>
      </c>
      <c r="J13" s="10">
        <f t="shared" si="3"/>
        <v>999020.92</v>
      </c>
      <c r="K13" s="23">
        <f t="shared" si="6"/>
        <v>0.5614666167595681</v>
      </c>
      <c r="M13" s="29">
        <f>65-1495+1812379</f>
        <v>1810949</v>
      </c>
      <c r="N13" s="31">
        <f>36.46-788.16+1015620.88</f>
        <v>1014869.18</v>
      </c>
      <c r="O13" s="23">
        <f t="shared" si="7"/>
        <v>0.5604073775683357</v>
      </c>
      <c r="P13" s="39"/>
      <c r="Q13" s="21">
        <f t="shared" si="4"/>
        <v>998955.76757999999</v>
      </c>
      <c r="R13" s="21">
        <f t="shared" si="5"/>
        <v>65.152420000056736</v>
      </c>
    </row>
    <row r="14" spans="1:18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32">
        <v>27</v>
      </c>
      <c r="F14" s="32">
        <v>15.13</v>
      </c>
      <c r="G14" s="11">
        <f t="shared" si="2"/>
        <v>0.56037037037037041</v>
      </c>
      <c r="H14" s="11"/>
      <c r="I14" s="25">
        <f t="shared" si="3"/>
        <v>3</v>
      </c>
      <c r="J14" s="10">
        <f t="shared" si="3"/>
        <v>1.6800000000000015</v>
      </c>
      <c r="K14" s="23">
        <f t="shared" si="6"/>
        <v>0.5600000000000005</v>
      </c>
      <c r="M14" s="29">
        <v>24</v>
      </c>
      <c r="N14" s="31">
        <v>13.45</v>
      </c>
      <c r="O14" s="23">
        <f t="shared" si="7"/>
        <v>0.56041666666666667</v>
      </c>
      <c r="P14" s="39"/>
      <c r="Q14" s="21">
        <f t="shared" si="4"/>
        <v>1.6842899999999998</v>
      </c>
      <c r="R14" s="21">
        <f t="shared" si="5"/>
        <v>-4.2899999999983507E-3</v>
      </c>
    </row>
    <row r="15" spans="1:18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322</v>
      </c>
      <c r="F15" s="31">
        <v>180.61</v>
      </c>
      <c r="G15" s="11">
        <f t="shared" si="2"/>
        <v>0.56090062111801242</v>
      </c>
      <c r="H15" s="11"/>
      <c r="I15" s="25">
        <f t="shared" si="3"/>
        <v>147</v>
      </c>
      <c r="J15" s="10">
        <f t="shared" si="3"/>
        <v>82.530000000000015</v>
      </c>
      <c r="K15" s="23">
        <f t="shared" si="6"/>
        <v>0.5614285714285715</v>
      </c>
      <c r="M15" s="29">
        <v>175</v>
      </c>
      <c r="N15" s="31">
        <v>98.08</v>
      </c>
      <c r="O15" s="23">
        <f t="shared" si="7"/>
        <v>0.56045714285714288</v>
      </c>
      <c r="P15" s="39"/>
      <c r="Q15" s="21">
        <f t="shared" si="4"/>
        <v>82.530209999999997</v>
      </c>
      <c r="R15" s="21">
        <f t="shared" si="5"/>
        <v>-2.0999999998139174E-4</v>
      </c>
    </row>
    <row r="16" spans="1:18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32">
        <v>32</v>
      </c>
      <c r="F16" s="32">
        <v>17.95</v>
      </c>
      <c r="G16" s="11">
        <f t="shared" si="2"/>
        <v>0.56093749999999998</v>
      </c>
      <c r="H16" s="11"/>
      <c r="I16" s="25">
        <f t="shared" si="3"/>
        <v>11</v>
      </c>
      <c r="J16" s="10">
        <f t="shared" si="3"/>
        <v>6.18</v>
      </c>
      <c r="K16" s="23">
        <f t="shared" si="6"/>
        <v>0.56181818181818177</v>
      </c>
      <c r="M16" s="29">
        <v>21</v>
      </c>
      <c r="N16" s="31">
        <v>11.77</v>
      </c>
      <c r="O16" s="23">
        <f t="shared" si="7"/>
        <v>0.56047619047619046</v>
      </c>
      <c r="P16" s="39"/>
      <c r="Q16" s="21">
        <f t="shared" si="4"/>
        <v>6.1757299999999997</v>
      </c>
      <c r="R16" s="21">
        <f t="shared" si="5"/>
        <v>4.269999999999996E-3</v>
      </c>
    </row>
    <row r="17" spans="1:19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31">
        <v>200.77</v>
      </c>
      <c r="G17" s="11">
        <f t="shared" si="2"/>
        <v>0.56081005586592181</v>
      </c>
      <c r="H17" s="11"/>
      <c r="I17" s="25">
        <f t="shared" si="3"/>
        <v>114</v>
      </c>
      <c r="J17" s="10">
        <f t="shared" si="3"/>
        <v>64</v>
      </c>
      <c r="K17" s="23">
        <f t="shared" si="6"/>
        <v>0.56140350877192979</v>
      </c>
      <c r="M17" s="29">
        <v>244</v>
      </c>
      <c r="N17" s="31">
        <v>136.77000000000001</v>
      </c>
      <c r="O17" s="23">
        <f t="shared" si="7"/>
        <v>0.56053278688524599</v>
      </c>
      <c r="P17" s="39"/>
      <c r="Q17" s="21">
        <f t="shared" si="4"/>
        <v>64.003019999999992</v>
      </c>
      <c r="R17" s="21">
        <f t="shared" si="5"/>
        <v>-3.0199999999922511E-3</v>
      </c>
    </row>
    <row r="18" spans="1:19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32">
        <v>615</v>
      </c>
      <c r="F18" s="32">
        <v>344.4</v>
      </c>
      <c r="G18" s="11">
        <f t="shared" si="2"/>
        <v>0.55999999999999994</v>
      </c>
      <c r="H18" s="11"/>
      <c r="I18" s="25">
        <f t="shared" si="3"/>
        <v>386</v>
      </c>
      <c r="J18" s="10">
        <f t="shared" si="3"/>
        <v>216.15999999999997</v>
      </c>
      <c r="K18" s="23">
        <f t="shared" si="6"/>
        <v>0.55999999999999994</v>
      </c>
      <c r="M18" s="29">
        <v>229</v>
      </c>
      <c r="N18" s="31">
        <v>128.24</v>
      </c>
      <c r="O18" s="23">
        <f t="shared" si="7"/>
        <v>0.56000000000000005</v>
      </c>
      <c r="P18" s="39"/>
      <c r="Q18" s="21">
        <f t="shared" si="4"/>
        <v>216.71197999999998</v>
      </c>
      <c r="R18" s="21">
        <f t="shared" si="5"/>
        <v>-0.55198000000001457</v>
      </c>
    </row>
    <row r="19" spans="1:19" ht="15.75" thickBot="1" x14ac:dyDescent="0.3">
      <c r="A19" s="46" t="s">
        <v>2</v>
      </c>
      <c r="B19" s="47"/>
      <c r="C19" s="47"/>
      <c r="D19" s="48"/>
      <c r="E19" s="7">
        <f>SUM(E6:E18)</f>
        <v>7706965</v>
      </c>
      <c r="F19" s="9">
        <f>SUM(F6:F18)</f>
        <v>4322978.3600000003</v>
      </c>
      <c r="I19" s="26">
        <f>SUM(I6:I18)</f>
        <v>3451096</v>
      </c>
      <c r="J19" s="9">
        <f>SUM(J6:J18)</f>
        <v>1937736.1999999997</v>
      </c>
      <c r="M19" s="7">
        <f>SUM(M6:M18)</f>
        <v>4255869</v>
      </c>
      <c r="N19" s="9">
        <f>SUM(N6:N18)</f>
        <v>2385242.16</v>
      </c>
      <c r="P19" s="15"/>
      <c r="Q19" s="15"/>
      <c r="R19" s="21">
        <f>SUM(R6:R18)</f>
        <v>187.372720000095</v>
      </c>
    </row>
    <row r="20" spans="1:19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5"/>
    </row>
    <row r="21" spans="1:19" x14ac:dyDescent="0.25">
      <c r="D21" s="33" t="s">
        <v>52</v>
      </c>
      <c r="E21" s="34">
        <f>E19/10</f>
        <v>770696.5</v>
      </c>
      <c r="G21" s="40"/>
      <c r="H21" s="40"/>
      <c r="I21" s="40"/>
      <c r="J21" s="40"/>
      <c r="K21" s="40"/>
      <c r="L21" s="40"/>
      <c r="M21" s="40"/>
      <c r="N21" s="41">
        <f>+N19+J19</f>
        <v>4322978.3599999994</v>
      </c>
      <c r="O21" s="40"/>
      <c r="P21" s="40"/>
      <c r="Q21" s="40"/>
      <c r="R21" s="40"/>
      <c r="S21" s="15"/>
    </row>
    <row r="22" spans="1:19" x14ac:dyDescent="0.25">
      <c r="G22" s="40"/>
      <c r="H22" s="40"/>
      <c r="I22" s="40"/>
      <c r="J22" s="40"/>
      <c r="K22" s="40"/>
      <c r="L22" s="40"/>
      <c r="M22" s="40"/>
      <c r="N22" s="41">
        <f>+F19-N21</f>
        <v>0</v>
      </c>
      <c r="O22" s="40"/>
      <c r="P22" s="40"/>
      <c r="Q22" s="40"/>
      <c r="R22" s="40"/>
      <c r="S22" s="15"/>
    </row>
    <row r="23" spans="1:19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</row>
    <row r="24" spans="1:19" x14ac:dyDescent="0.25">
      <c r="G24" s="40" t="s">
        <v>54</v>
      </c>
      <c r="H24" s="40"/>
      <c r="I24" s="40"/>
      <c r="J24" s="41">
        <f>+J13+J14+J15+J16</f>
        <v>999111.31000000017</v>
      </c>
      <c r="K24" s="40"/>
      <c r="L24" s="40"/>
      <c r="M24" s="40"/>
      <c r="N24" s="41">
        <f>+N13+N14+N15+N16</f>
        <v>1014992.48</v>
      </c>
      <c r="O24" s="41">
        <f>+N24+J24</f>
        <v>2014103.79</v>
      </c>
      <c r="P24" s="40"/>
      <c r="Q24" s="40" t="s">
        <v>54</v>
      </c>
      <c r="R24" s="41">
        <f>+R13+R14+R15+R16</f>
        <v>65.152190000056763</v>
      </c>
      <c r="S24" s="21">
        <f>+O24+R24</f>
        <v>2014168.9421900001</v>
      </c>
    </row>
    <row r="25" spans="1:19" x14ac:dyDescent="0.25">
      <c r="G25" s="40" t="s">
        <v>55</v>
      </c>
      <c r="H25" s="40"/>
      <c r="I25" s="40"/>
      <c r="J25" s="41">
        <f>+J6+J17+J18+J8</f>
        <v>779882.25</v>
      </c>
      <c r="K25" s="40"/>
      <c r="L25" s="40"/>
      <c r="M25" s="40"/>
      <c r="N25" s="41">
        <f>+N6+N17+N18+N8</f>
        <v>689311.55999999994</v>
      </c>
      <c r="O25" s="41">
        <f t="shared" ref="O25:O28" si="8">+N25+J25</f>
        <v>1469193.81</v>
      </c>
      <c r="P25" s="40"/>
      <c r="Q25" s="40" t="s">
        <v>55</v>
      </c>
      <c r="R25" s="41">
        <f>+R6+R17+R18+R8</f>
        <v>122.22874000004367</v>
      </c>
      <c r="S25" s="21">
        <f t="shared" ref="S25:S28" si="9">+O25+R25</f>
        <v>1469316.03874</v>
      </c>
    </row>
    <row r="26" spans="1:19" x14ac:dyDescent="0.25">
      <c r="G26" s="40" t="s">
        <v>56</v>
      </c>
      <c r="H26" s="40"/>
      <c r="I26" s="40"/>
      <c r="J26" s="41">
        <f>+J9+J11</f>
        <v>121915.64</v>
      </c>
      <c r="K26" s="40"/>
      <c r="L26" s="40"/>
      <c r="M26" s="40"/>
      <c r="N26" s="41">
        <f>+N9+N11</f>
        <v>127101.9</v>
      </c>
      <c r="O26" s="41">
        <f t="shared" si="8"/>
        <v>249017.53999999998</v>
      </c>
      <c r="P26" s="40"/>
      <c r="Q26" s="40" t="s">
        <v>56</v>
      </c>
      <c r="R26" s="41">
        <f>+R9+R11</f>
        <v>-7.3600000032456592E-3</v>
      </c>
      <c r="S26" s="21">
        <f t="shared" si="9"/>
        <v>249017.53263999999</v>
      </c>
    </row>
    <row r="27" spans="1:19" x14ac:dyDescent="0.25">
      <c r="G27" s="40" t="s">
        <v>57</v>
      </c>
      <c r="H27" s="40"/>
      <c r="I27" s="40"/>
      <c r="J27" s="41">
        <f>+J7+J10</f>
        <v>36827</v>
      </c>
      <c r="K27" s="40"/>
      <c r="L27" s="40"/>
      <c r="M27" s="40"/>
      <c r="N27" s="41">
        <f>+N7+N10</f>
        <v>61650.520000000004</v>
      </c>
      <c r="O27" s="41">
        <f t="shared" si="8"/>
        <v>98477.52</v>
      </c>
      <c r="P27" s="40"/>
      <c r="Q27" s="40" t="s">
        <v>57</v>
      </c>
      <c r="R27" s="41">
        <f>+R7+R10</f>
        <v>-8.5000000217405614E-4</v>
      </c>
      <c r="S27" s="21">
        <f t="shared" si="9"/>
        <v>98477.519150000007</v>
      </c>
    </row>
    <row r="28" spans="1:19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492185.7</v>
      </c>
      <c r="O28" s="41">
        <f t="shared" si="8"/>
        <v>492185.7</v>
      </c>
      <c r="P28" s="40"/>
      <c r="Q28" s="40" t="s">
        <v>58</v>
      </c>
      <c r="R28" s="41">
        <f>+R12</f>
        <v>0</v>
      </c>
      <c r="S28" s="21">
        <f t="shared" si="9"/>
        <v>492185.7</v>
      </c>
    </row>
    <row r="29" spans="1:19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4322978.3600000003</v>
      </c>
      <c r="P29" s="41">
        <f>+O29-F19</f>
        <v>0</v>
      </c>
      <c r="Q29" s="40"/>
      <c r="R29" s="40"/>
      <c r="S29" s="15"/>
    </row>
    <row r="31" spans="1:19" x14ac:dyDescent="0.25">
      <c r="J31" s="42">
        <v>999046.15781000012</v>
      </c>
      <c r="K31" s="43"/>
      <c r="N31" s="43">
        <v>1015160.2244999999</v>
      </c>
    </row>
    <row r="32" spans="1:19" x14ac:dyDescent="0.25">
      <c r="J32" s="42">
        <v>779760.02125999995</v>
      </c>
      <c r="K32" s="43"/>
      <c r="N32" s="43">
        <v>689316.35199999996</v>
      </c>
    </row>
    <row r="34" spans="10:14" x14ac:dyDescent="0.25">
      <c r="J34" s="38">
        <f>+J24-J31</f>
        <v>65.152190000051633</v>
      </c>
      <c r="N34" s="38">
        <f>+N24-N31</f>
        <v>-167.74449999991339</v>
      </c>
    </row>
    <row r="35" spans="10:14" x14ac:dyDescent="0.25">
      <c r="J35" s="38">
        <f t="shared" ref="J35" si="10">+J25-J32</f>
        <v>122.22874000004958</v>
      </c>
      <c r="N35" s="38">
        <f t="shared" ref="N35" si="11">+N25-N32</f>
        <v>-4.7920000000158325</v>
      </c>
    </row>
  </sheetData>
  <mergeCells count="5">
    <mergeCell ref="M4:N4"/>
    <mergeCell ref="A1:C1"/>
    <mergeCell ref="A3:C4"/>
    <mergeCell ref="A19:D19"/>
    <mergeCell ref="I4:J4"/>
  </mergeCells>
  <phoneticPr fontId="6" type="noConversion"/>
  <pageMargins left="0.75" right="0.75" top="1" bottom="1" header="0.5" footer="0.5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29"/>
  <sheetViews>
    <sheetView showGridLines="0" zoomScaleNormal="100" workbookViewId="0">
      <selection activeCell="A2" sqref="A2:XFD29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2.5703125" bestFit="1" customWidth="1"/>
    <col min="8" max="8" width="2.5703125" customWidth="1"/>
    <col min="9" max="9" width="7.85546875" bestFit="1" customWidth="1"/>
    <col min="10" max="10" width="12.42578125" bestFit="1" customWidth="1"/>
    <col min="11" max="11" width="7" style="15" bestFit="1" customWidth="1"/>
    <col min="12" max="12" width="2.7109375" customWidth="1"/>
    <col min="13" max="13" width="8.140625" bestFit="1" customWidth="1"/>
    <col min="14" max="14" width="14.85546875" bestFit="1" customWidth="1"/>
    <col min="15" max="15" width="14.85546875" style="15" bestFit="1" customWidth="1"/>
    <col min="16" max="16" width="8.85546875" bestFit="1" customWidth="1"/>
    <col min="17" max="17" width="13.85546875" bestFit="1" customWidth="1"/>
    <col min="18" max="18" width="8.5703125" bestFit="1" customWidth="1"/>
    <col min="19" max="19" width="12" bestFit="1" customWidth="1"/>
    <col min="20" max="21" width="10.28515625" bestFit="1" customWidth="1"/>
  </cols>
  <sheetData>
    <row r="1" spans="1:21" ht="15.75" x14ac:dyDescent="0.25">
      <c r="A1" s="57" t="s">
        <v>38</v>
      </c>
      <c r="B1" s="57"/>
      <c r="C1" s="57"/>
    </row>
    <row r="2" spans="1:21" ht="15.75" thickBot="1" x14ac:dyDescent="0.3">
      <c r="A2" s="1"/>
    </row>
    <row r="3" spans="1:21" ht="15.75" thickBot="1" x14ac:dyDescent="0.3">
      <c r="A3" s="49"/>
      <c r="B3" s="50"/>
      <c r="C3" s="51"/>
      <c r="D3" s="3" t="s">
        <v>1</v>
      </c>
      <c r="E3" s="6" t="s">
        <v>49</v>
      </c>
      <c r="F3" s="6" t="s">
        <v>49</v>
      </c>
      <c r="I3" s="6" t="s">
        <v>49</v>
      </c>
      <c r="J3" s="6" t="s">
        <v>49</v>
      </c>
      <c r="M3" s="6" t="s">
        <v>49</v>
      </c>
      <c r="N3" s="6" t="s">
        <v>49</v>
      </c>
    </row>
    <row r="4" spans="1:21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39</v>
      </c>
      <c r="J4" s="72"/>
      <c r="K4" s="24"/>
      <c r="M4" s="55" t="s">
        <v>51</v>
      </c>
      <c r="N4" s="56"/>
      <c r="O4" s="24"/>
    </row>
    <row r="5" spans="1:21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1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3080538</v>
      </c>
      <c r="F6" s="31">
        <v>1726522.73</v>
      </c>
      <c r="G6" s="23">
        <f t="shared" ref="G6:G10" si="0">IFERROR(F6/E6,0)</f>
        <v>0.56046142913997488</v>
      </c>
      <c r="H6" s="11"/>
      <c r="I6" s="25">
        <f>E6-M6</f>
        <v>156316</v>
      </c>
      <c r="J6" s="10">
        <f>F6-N6</f>
        <v>87499.040000000037</v>
      </c>
      <c r="K6" s="23">
        <f t="shared" ref="K6:K10" si="1">IFERROR(J6/I6,0)</f>
        <v>0.55975741446812888</v>
      </c>
      <c r="M6" s="29">
        <v>2924222</v>
      </c>
      <c r="N6" s="31">
        <v>1639023.69</v>
      </c>
      <c r="O6" s="23">
        <f t="shared" ref="O6:O10" si="2">IFERROR(N6/M6,0)</f>
        <v>0.5604990626566656</v>
      </c>
      <c r="P6" s="39">
        <f>+K6-O6</f>
        <v>-7.4164818853672543E-4</v>
      </c>
      <c r="Q6" s="45">
        <f t="shared" ref="Q6:Q17" si="3">+M6*$M$4</f>
        <v>1639026.4310000001</v>
      </c>
      <c r="R6" s="21">
        <f>+N6-Q6</f>
        <v>-2.7410000001545995</v>
      </c>
      <c r="S6" s="45">
        <f>+I6*$M$4</f>
        <v>87615.118000000002</v>
      </c>
      <c r="T6" s="21">
        <f>-S6+J6</f>
        <v>-116.07799999996496</v>
      </c>
      <c r="U6" s="21">
        <f>+R6+T6</f>
        <v>-118.81900000011956</v>
      </c>
    </row>
    <row r="7" spans="1:21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87880</v>
      </c>
      <c r="F7" s="31">
        <v>49256.75</v>
      </c>
      <c r="G7" s="23">
        <f t="shared" si="0"/>
        <v>0.56050011379153386</v>
      </c>
      <c r="H7" s="11"/>
      <c r="I7" s="25">
        <f t="shared" ref="I7:J17" si="4">E7-M7</f>
        <v>0</v>
      </c>
      <c r="J7" s="10">
        <f t="shared" si="4"/>
        <v>0</v>
      </c>
      <c r="K7" s="23">
        <f t="shared" si="1"/>
        <v>0</v>
      </c>
      <c r="M7" s="29">
        <v>87880</v>
      </c>
      <c r="N7" s="31">
        <v>49256.75</v>
      </c>
      <c r="O7" s="23">
        <f t="shared" si="2"/>
        <v>0.56050011379153386</v>
      </c>
      <c r="P7" s="39">
        <f t="shared" ref="P7:P13" si="5">+K7-O7</f>
        <v>-0.56050011379153386</v>
      </c>
      <c r="Q7" s="45">
        <f t="shared" si="3"/>
        <v>49256.74</v>
      </c>
      <c r="R7" s="21">
        <f t="shared" ref="R7:R18" si="6">+N7-Q7</f>
        <v>1.0000000002037268E-2</v>
      </c>
      <c r="S7" s="45">
        <f t="shared" ref="S7:S18" si="7">+I7*$M$4</f>
        <v>0</v>
      </c>
      <c r="T7" s="21">
        <f t="shared" ref="T7:T18" si="8">-S7+J7</f>
        <v>0</v>
      </c>
      <c r="U7" s="21">
        <f t="shared" ref="U7:U18" si="9">+R7+T7</f>
        <v>1.0000000002037268E-2</v>
      </c>
    </row>
    <row r="8" spans="1:21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29">
        <v>911</v>
      </c>
      <c r="F8" s="31">
        <v>510.62</v>
      </c>
      <c r="G8" s="23">
        <f t="shared" si="0"/>
        <v>0.56050493962678372</v>
      </c>
      <c r="H8" s="12"/>
      <c r="I8" s="25">
        <f t="shared" si="4"/>
        <v>0</v>
      </c>
      <c r="J8" s="10">
        <f t="shared" si="4"/>
        <v>0</v>
      </c>
      <c r="K8" s="23">
        <f t="shared" si="1"/>
        <v>0</v>
      </c>
      <c r="M8" s="29">
        <v>911</v>
      </c>
      <c r="N8" s="31">
        <v>510.62</v>
      </c>
      <c r="O8" s="23">
        <f t="shared" si="2"/>
        <v>0.56050493962678372</v>
      </c>
      <c r="P8" s="39"/>
      <c r="Q8" s="45">
        <f t="shared" si="3"/>
        <v>510.6155</v>
      </c>
      <c r="R8" s="21">
        <f t="shared" si="6"/>
        <v>4.500000000007276E-3</v>
      </c>
      <c r="S8" s="45">
        <f t="shared" si="7"/>
        <v>0</v>
      </c>
      <c r="T8" s="21">
        <f t="shared" si="8"/>
        <v>0</v>
      </c>
      <c r="U8" s="21">
        <f t="shared" si="9"/>
        <v>4.500000000007276E-3</v>
      </c>
    </row>
    <row r="9" spans="1:21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430548</v>
      </c>
      <c r="F9" s="31">
        <v>241321.77</v>
      </c>
      <c r="G9" s="23">
        <f t="shared" si="0"/>
        <v>0.56049910811338111</v>
      </c>
      <c r="H9" s="11"/>
      <c r="I9" s="25">
        <f t="shared" si="4"/>
        <v>-1557</v>
      </c>
      <c r="J9" s="10">
        <f t="shared" si="4"/>
        <v>-873.07000000000698</v>
      </c>
      <c r="K9" s="23">
        <f t="shared" si="1"/>
        <v>0.56073859987155239</v>
      </c>
      <c r="M9" s="29">
        <v>432105</v>
      </c>
      <c r="N9" s="31">
        <v>242194.84</v>
      </c>
      <c r="O9" s="23">
        <f t="shared" si="2"/>
        <v>0.5604999710718459</v>
      </c>
      <c r="P9" s="39">
        <f t="shared" si="5"/>
        <v>2.3862879970648621E-4</v>
      </c>
      <c r="Q9" s="45">
        <f t="shared" si="3"/>
        <v>242194.85250000001</v>
      </c>
      <c r="R9" s="21">
        <f t="shared" si="6"/>
        <v>-1.2500000011641532E-2</v>
      </c>
      <c r="S9" s="45">
        <f t="shared" si="7"/>
        <v>-872.69849999999997</v>
      </c>
      <c r="T9" s="21">
        <f t="shared" si="8"/>
        <v>-0.37150000000701766</v>
      </c>
      <c r="U9" s="21">
        <f t="shared" si="9"/>
        <v>-0.38400000001865919</v>
      </c>
    </row>
    <row r="10" spans="1:21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62542</v>
      </c>
      <c r="F10" s="31">
        <v>35054.800000000003</v>
      </c>
      <c r="G10" s="23">
        <f t="shared" si="0"/>
        <v>0.56050014390329705</v>
      </c>
      <c r="H10" s="11"/>
      <c r="I10" s="25">
        <f t="shared" si="4"/>
        <v>0</v>
      </c>
      <c r="J10" s="10">
        <f t="shared" si="4"/>
        <v>0</v>
      </c>
      <c r="K10" s="23">
        <f t="shared" si="1"/>
        <v>0</v>
      </c>
      <c r="M10" s="29">
        <v>62542</v>
      </c>
      <c r="N10" s="31">
        <v>35054.800000000003</v>
      </c>
      <c r="O10" s="23">
        <f t="shared" si="2"/>
        <v>0.56050014390329705</v>
      </c>
      <c r="P10" s="39">
        <f t="shared" si="5"/>
        <v>-0.56050014390329705</v>
      </c>
      <c r="Q10" s="45">
        <f t="shared" si="3"/>
        <v>35054.790999999997</v>
      </c>
      <c r="R10" s="21">
        <f t="shared" si="6"/>
        <v>9.0000000054715201E-3</v>
      </c>
      <c r="S10" s="45">
        <f t="shared" si="7"/>
        <v>0</v>
      </c>
      <c r="T10" s="21">
        <f t="shared" si="8"/>
        <v>0</v>
      </c>
      <c r="U10" s="21">
        <f t="shared" si="9"/>
        <v>9.0000000054715201E-3</v>
      </c>
    </row>
    <row r="11" spans="1:21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0</v>
      </c>
      <c r="F11" s="31">
        <v>0</v>
      </c>
      <c r="G11" s="23">
        <f>IFERROR(F11/E11,0)</f>
        <v>0</v>
      </c>
      <c r="H11" s="12"/>
      <c r="I11" s="25">
        <f t="shared" si="4"/>
        <v>0</v>
      </c>
      <c r="J11" s="10">
        <f t="shared" si="4"/>
        <v>0</v>
      </c>
      <c r="K11" s="23">
        <f>IFERROR(J11/I11,0)</f>
        <v>0</v>
      </c>
      <c r="M11" s="29">
        <v>0</v>
      </c>
      <c r="N11" s="31">
        <v>0</v>
      </c>
      <c r="O11" s="23">
        <f>IFERROR(N11/M11,0)</f>
        <v>0</v>
      </c>
      <c r="P11" s="39"/>
      <c r="Q11" s="45">
        <f t="shared" si="3"/>
        <v>0</v>
      </c>
      <c r="R11" s="21">
        <f t="shared" si="6"/>
        <v>0</v>
      </c>
      <c r="S11" s="45">
        <f t="shared" si="7"/>
        <v>0</v>
      </c>
      <c r="T11" s="21">
        <f t="shared" si="8"/>
        <v>0</v>
      </c>
      <c r="U11" s="21">
        <f t="shared" si="9"/>
        <v>0</v>
      </c>
    </row>
    <row r="12" spans="1:21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32">
        <v>395892</v>
      </c>
      <c r="F12" s="32">
        <v>221897.46</v>
      </c>
      <c r="G12" s="23">
        <f t="shared" ref="G12:G18" si="10">IFERROR(F12/E12,0)</f>
        <v>0.56049998484435148</v>
      </c>
      <c r="H12" s="11"/>
      <c r="I12" s="25">
        <f t="shared" si="4"/>
        <v>0</v>
      </c>
      <c r="J12" s="10">
        <f t="shared" si="4"/>
        <v>0</v>
      </c>
      <c r="K12" s="23">
        <f t="shared" ref="K12:K18" si="11">IFERROR(J12/I12,0)</f>
        <v>0</v>
      </c>
      <c r="M12" s="29">
        <v>395892</v>
      </c>
      <c r="N12" s="31">
        <v>221897.46</v>
      </c>
      <c r="O12" s="23">
        <f t="shared" ref="O12:O18" si="12">IFERROR(N12/M12,0)</f>
        <v>0.56049998484435148</v>
      </c>
      <c r="P12" s="39"/>
      <c r="Q12" s="45">
        <f t="shared" si="3"/>
        <v>221897.46599999999</v>
      </c>
      <c r="R12" s="21">
        <f t="shared" si="6"/>
        <v>-5.9999999939464033E-3</v>
      </c>
      <c r="S12" s="45">
        <f t="shared" si="7"/>
        <v>0</v>
      </c>
      <c r="T12" s="21">
        <f t="shared" si="8"/>
        <v>0</v>
      </c>
      <c r="U12" s="21">
        <f t="shared" si="9"/>
        <v>-5.9999999939464033E-3</v>
      </c>
    </row>
    <row r="13" spans="1:21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3922439</v>
      </c>
      <c r="F13" s="31">
        <v>2198447.77</v>
      </c>
      <c r="G13" s="23">
        <f t="shared" si="10"/>
        <v>0.56047978566397083</v>
      </c>
      <c r="H13" s="11"/>
      <c r="I13" s="25">
        <f t="shared" si="4"/>
        <v>-21106</v>
      </c>
      <c r="J13" s="10">
        <f t="shared" si="4"/>
        <v>-11998.779999999795</v>
      </c>
      <c r="K13" s="23">
        <f t="shared" si="11"/>
        <v>0.56850090021793775</v>
      </c>
      <c r="M13" s="29">
        <v>3943545</v>
      </c>
      <c r="N13" s="31">
        <v>2210446.5499999998</v>
      </c>
      <c r="O13" s="23">
        <f t="shared" si="12"/>
        <v>0.56052271496838502</v>
      </c>
      <c r="P13" s="39">
        <f t="shared" si="5"/>
        <v>7.9781852495527383E-3</v>
      </c>
      <c r="Q13" s="45">
        <f t="shared" si="3"/>
        <v>2210356.9725000001</v>
      </c>
      <c r="R13" s="21">
        <f t="shared" si="6"/>
        <v>89.577499999664724</v>
      </c>
      <c r="S13" s="45">
        <f t="shared" si="7"/>
        <v>-11829.913</v>
      </c>
      <c r="T13" s="21">
        <f t="shared" si="8"/>
        <v>-168.86699999979464</v>
      </c>
      <c r="U13" s="21">
        <f t="shared" si="9"/>
        <v>-79.289500000129919</v>
      </c>
    </row>
    <row r="14" spans="1:21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32">
        <v>170</v>
      </c>
      <c r="F14" s="32">
        <v>95.29</v>
      </c>
      <c r="G14" s="23">
        <f t="shared" si="10"/>
        <v>0.56052941176470594</v>
      </c>
      <c r="H14" s="11"/>
      <c r="I14" s="25">
        <f t="shared" si="4"/>
        <v>0</v>
      </c>
      <c r="J14" s="10">
        <f t="shared" si="4"/>
        <v>0</v>
      </c>
      <c r="K14" s="23">
        <f t="shared" si="11"/>
        <v>0</v>
      </c>
      <c r="M14" s="29">
        <v>170</v>
      </c>
      <c r="N14" s="31">
        <v>95.29</v>
      </c>
      <c r="O14" s="23">
        <f t="shared" si="12"/>
        <v>0.56052941176470594</v>
      </c>
      <c r="P14" s="39"/>
      <c r="Q14" s="45">
        <f t="shared" si="3"/>
        <v>95.284999999999997</v>
      </c>
      <c r="R14" s="21">
        <f t="shared" si="6"/>
        <v>5.0000000000096634E-3</v>
      </c>
      <c r="S14" s="45">
        <f t="shared" si="7"/>
        <v>0</v>
      </c>
      <c r="T14" s="21">
        <f t="shared" si="8"/>
        <v>0</v>
      </c>
      <c r="U14" s="21">
        <f t="shared" si="9"/>
        <v>5.0000000000096634E-3</v>
      </c>
    </row>
    <row r="15" spans="1:21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355</v>
      </c>
      <c r="F15" s="31">
        <v>198.97</v>
      </c>
      <c r="G15" s="23">
        <f t="shared" si="10"/>
        <v>0.56047887323943657</v>
      </c>
      <c r="H15" s="11"/>
      <c r="I15" s="25">
        <f t="shared" si="4"/>
        <v>0</v>
      </c>
      <c r="J15" s="10">
        <f t="shared" si="4"/>
        <v>0</v>
      </c>
      <c r="K15" s="23">
        <f t="shared" si="11"/>
        <v>0</v>
      </c>
      <c r="M15" s="29">
        <v>355</v>
      </c>
      <c r="N15" s="31">
        <v>198.97</v>
      </c>
      <c r="O15" s="23">
        <f t="shared" si="12"/>
        <v>0.56047887323943657</v>
      </c>
      <c r="P15" s="39"/>
      <c r="Q15" s="45">
        <f t="shared" si="3"/>
        <v>198.97749999999999</v>
      </c>
      <c r="R15" s="21">
        <f t="shared" si="6"/>
        <v>-7.4999999999931788E-3</v>
      </c>
      <c r="S15" s="45">
        <f t="shared" si="7"/>
        <v>0</v>
      </c>
      <c r="T15" s="21">
        <f t="shared" si="8"/>
        <v>0</v>
      </c>
      <c r="U15" s="21">
        <f t="shared" si="9"/>
        <v>-7.4999999999931788E-3</v>
      </c>
    </row>
    <row r="16" spans="1:21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32">
        <v>32</v>
      </c>
      <c r="F16" s="32">
        <v>17.940000000000001</v>
      </c>
      <c r="G16" s="23">
        <f t="shared" si="10"/>
        <v>0.56062500000000004</v>
      </c>
      <c r="H16" s="11"/>
      <c r="I16" s="25">
        <f t="shared" si="4"/>
        <v>0</v>
      </c>
      <c r="J16" s="10">
        <f t="shared" si="4"/>
        <v>0</v>
      </c>
      <c r="K16" s="23">
        <f t="shared" si="11"/>
        <v>0</v>
      </c>
      <c r="M16" s="29">
        <v>32</v>
      </c>
      <c r="N16" s="31">
        <v>17.940000000000001</v>
      </c>
      <c r="O16" s="23">
        <f t="shared" si="12"/>
        <v>0.56062500000000004</v>
      </c>
      <c r="P16" s="39"/>
      <c r="Q16" s="45">
        <f t="shared" si="3"/>
        <v>17.936</v>
      </c>
      <c r="R16" s="21">
        <f t="shared" si="6"/>
        <v>4.0000000000013358E-3</v>
      </c>
      <c r="S16" s="45">
        <f t="shared" si="7"/>
        <v>0</v>
      </c>
      <c r="T16" s="21">
        <f t="shared" si="8"/>
        <v>0</v>
      </c>
      <c r="U16" s="21">
        <f t="shared" si="9"/>
        <v>4.0000000000013358E-3</v>
      </c>
    </row>
    <row r="17" spans="1:21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31">
        <v>200.66</v>
      </c>
      <c r="G17" s="23">
        <f t="shared" si="10"/>
        <v>0.56050279329608943</v>
      </c>
      <c r="H17" s="11"/>
      <c r="I17" s="25">
        <f t="shared" si="4"/>
        <v>0</v>
      </c>
      <c r="J17" s="10">
        <f t="shared" si="4"/>
        <v>0</v>
      </c>
      <c r="K17" s="23">
        <f t="shared" si="11"/>
        <v>0</v>
      </c>
      <c r="M17" s="29">
        <v>358</v>
      </c>
      <c r="N17" s="31">
        <v>200.66</v>
      </c>
      <c r="O17" s="23">
        <f t="shared" si="12"/>
        <v>0.56050279329608943</v>
      </c>
      <c r="P17" s="39"/>
      <c r="Q17" s="45">
        <f t="shared" si="3"/>
        <v>200.65899999999999</v>
      </c>
      <c r="R17" s="21">
        <f t="shared" si="6"/>
        <v>1.0000000000047748E-3</v>
      </c>
      <c r="S17" s="45">
        <f t="shared" si="7"/>
        <v>0</v>
      </c>
      <c r="T17" s="21">
        <f t="shared" si="8"/>
        <v>0</v>
      </c>
      <c r="U17" s="21">
        <f t="shared" si="9"/>
        <v>1.0000000000047748E-3</v>
      </c>
    </row>
    <row r="18" spans="1:21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32">
        <v>613</v>
      </c>
      <c r="F18" s="32">
        <v>343.28</v>
      </c>
      <c r="G18" s="23">
        <f t="shared" si="10"/>
        <v>0.55999999999999994</v>
      </c>
      <c r="H18" s="11"/>
      <c r="I18" s="25">
        <f>E18-M18</f>
        <v>0</v>
      </c>
      <c r="J18" s="10">
        <f>F18-N18</f>
        <v>0</v>
      </c>
      <c r="K18" s="23">
        <f t="shared" si="11"/>
        <v>0</v>
      </c>
      <c r="M18" s="29">
        <v>613</v>
      </c>
      <c r="N18" s="31">
        <v>343.28</v>
      </c>
      <c r="O18" s="23">
        <f t="shared" si="12"/>
        <v>0.55999999999999994</v>
      </c>
      <c r="P18" s="39"/>
      <c r="Q18" s="45">
        <f>+M18*$M$4</f>
        <v>343.5865</v>
      </c>
      <c r="R18" s="21">
        <f t="shared" si="6"/>
        <v>-0.30650000000002819</v>
      </c>
      <c r="S18" s="45">
        <f t="shared" si="7"/>
        <v>0</v>
      </c>
      <c r="T18" s="21">
        <f t="shared" si="8"/>
        <v>0</v>
      </c>
      <c r="U18" s="21">
        <f t="shared" si="9"/>
        <v>-0.30650000000002819</v>
      </c>
    </row>
    <row r="19" spans="1:21" ht="15.75" thickBot="1" x14ac:dyDescent="0.3">
      <c r="A19" s="46" t="s">
        <v>2</v>
      </c>
      <c r="B19" s="47"/>
      <c r="C19" s="47"/>
      <c r="D19" s="48"/>
      <c r="E19" s="7">
        <f>SUM(E6:E18)</f>
        <v>7982278</v>
      </c>
      <c r="F19" s="9">
        <f>SUM(F6:F18)</f>
        <v>4473868.040000001</v>
      </c>
      <c r="I19" s="26">
        <f>SUM(I6:I18)</f>
        <v>133653</v>
      </c>
      <c r="J19" s="9">
        <f>SUM(J6:J18)</f>
        <v>74627.190000000235</v>
      </c>
      <c r="M19" s="7">
        <f>SUM(M6:M18)</f>
        <v>7848625</v>
      </c>
      <c r="N19" s="9">
        <f>SUM(N6:N18)</f>
        <v>4399240.8500000006</v>
      </c>
      <c r="P19" s="15"/>
      <c r="Q19" s="15"/>
      <c r="R19" s="21">
        <f>SUM(R6:R18)</f>
        <v>86.53749999951205</v>
      </c>
      <c r="S19" s="15"/>
      <c r="T19" s="15"/>
      <c r="U19" s="15"/>
    </row>
    <row r="20" spans="1:21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5"/>
      <c r="T20" s="15"/>
      <c r="U20" s="15"/>
    </row>
    <row r="21" spans="1:21" x14ac:dyDescent="0.25">
      <c r="G21" s="40"/>
      <c r="H21" s="40"/>
      <c r="I21" s="40"/>
      <c r="J21" s="40"/>
      <c r="K21" s="40"/>
      <c r="L21" s="40"/>
      <c r="M21" s="40"/>
      <c r="N21" s="41">
        <f>+N19+J19</f>
        <v>4473868.040000001</v>
      </c>
      <c r="O21" s="40"/>
      <c r="P21" s="40"/>
      <c r="Q21" s="40"/>
      <c r="R21" s="40"/>
      <c r="S21" s="15"/>
      <c r="T21" s="15"/>
      <c r="U21" s="15"/>
    </row>
    <row r="22" spans="1:21" x14ac:dyDescent="0.25">
      <c r="G22" s="40"/>
      <c r="H22" s="40"/>
      <c r="I22" s="40"/>
      <c r="J22" s="40"/>
      <c r="K22" s="40"/>
      <c r="L22" s="40"/>
      <c r="M22" s="40"/>
      <c r="N22" s="41">
        <f>+F19-N21</f>
        <v>0</v>
      </c>
      <c r="O22" s="40"/>
      <c r="P22" s="40"/>
      <c r="Q22" s="40"/>
      <c r="R22" s="40"/>
      <c r="S22" s="15"/>
      <c r="T22" s="15"/>
      <c r="U22" s="15"/>
    </row>
    <row r="23" spans="1:21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  <c r="T23" s="15"/>
      <c r="U23" s="15"/>
    </row>
    <row r="24" spans="1:21" x14ac:dyDescent="0.25">
      <c r="G24" s="40" t="s">
        <v>54</v>
      </c>
      <c r="H24" s="40"/>
      <c r="I24" s="40"/>
      <c r="J24" s="41">
        <f>+J13+J14+J15+J16</f>
        <v>-11998.779999999795</v>
      </c>
      <c r="K24" s="40"/>
      <c r="L24" s="40"/>
      <c r="M24" s="40"/>
      <c r="N24" s="41">
        <f>+N13+N14+N15+N16</f>
        <v>2210758.75</v>
      </c>
      <c r="O24" s="41">
        <f>+N24+J24</f>
        <v>2198759.9700000002</v>
      </c>
      <c r="P24" s="40"/>
      <c r="Q24" s="40" t="s">
        <v>54</v>
      </c>
      <c r="R24" s="41">
        <f>+R13+R14+R15+R16</f>
        <v>89.578999999664745</v>
      </c>
      <c r="S24" s="15"/>
      <c r="T24" s="15"/>
      <c r="U24" s="41">
        <f>+U13+U14+U15+U16</f>
        <v>-79.288000000129898</v>
      </c>
    </row>
    <row r="25" spans="1:21" x14ac:dyDescent="0.25">
      <c r="G25" s="40" t="s">
        <v>55</v>
      </c>
      <c r="H25" s="40"/>
      <c r="I25" s="40"/>
      <c r="J25" s="41">
        <f>+J6+J17+J18+J8</f>
        <v>87499.040000000037</v>
      </c>
      <c r="K25" s="40"/>
      <c r="L25" s="40"/>
      <c r="M25" s="40"/>
      <c r="N25" s="41">
        <f>+N6+N17+N18+N8</f>
        <v>1640078.25</v>
      </c>
      <c r="O25" s="41">
        <f t="shared" ref="O25:O28" si="13">+N25+J25</f>
        <v>1727577.29</v>
      </c>
      <c r="P25" s="40"/>
      <c r="Q25" s="40" t="s">
        <v>55</v>
      </c>
      <c r="R25" s="41">
        <f>+R6+R17+R18+R8</f>
        <v>-3.0420000001546157</v>
      </c>
      <c r="S25" s="15"/>
      <c r="T25" s="15"/>
      <c r="U25" s="41">
        <f>+U6+U17+U18+U8</f>
        <v>-119.12000000011957</v>
      </c>
    </row>
    <row r="26" spans="1:21" x14ac:dyDescent="0.25">
      <c r="G26" s="40" t="s">
        <v>56</v>
      </c>
      <c r="H26" s="40"/>
      <c r="I26" s="40"/>
      <c r="J26" s="41">
        <f>+J9+J11</f>
        <v>-873.07000000000698</v>
      </c>
      <c r="K26" s="40"/>
      <c r="L26" s="40"/>
      <c r="M26" s="40"/>
      <c r="N26" s="41">
        <f>+N9+N11</f>
        <v>242194.84</v>
      </c>
      <c r="O26" s="41">
        <f t="shared" si="13"/>
        <v>241321.77</v>
      </c>
      <c r="P26" s="40"/>
      <c r="Q26" s="40" t="s">
        <v>56</v>
      </c>
      <c r="R26" s="41">
        <f>+R9+R11</f>
        <v>-1.2500000011641532E-2</v>
      </c>
      <c r="S26" s="15"/>
      <c r="T26" s="15"/>
      <c r="U26" s="41">
        <f>+U9+U11</f>
        <v>-0.38400000001865919</v>
      </c>
    </row>
    <row r="27" spans="1:21" x14ac:dyDescent="0.25">
      <c r="G27" s="40" t="s">
        <v>57</v>
      </c>
      <c r="H27" s="40"/>
      <c r="I27" s="40"/>
      <c r="J27" s="41">
        <f>+J7+J10</f>
        <v>0</v>
      </c>
      <c r="K27" s="40"/>
      <c r="L27" s="40"/>
      <c r="M27" s="40"/>
      <c r="N27" s="41">
        <f>+N7+N10</f>
        <v>84311.55</v>
      </c>
      <c r="O27" s="41">
        <f t="shared" si="13"/>
        <v>84311.55</v>
      </c>
      <c r="P27" s="40"/>
      <c r="Q27" s="40" t="s">
        <v>57</v>
      </c>
      <c r="R27" s="41">
        <f>+R7+R10</f>
        <v>1.9000000007508788E-2</v>
      </c>
      <c r="S27" s="15"/>
      <c r="T27" s="15"/>
      <c r="U27" s="41">
        <f>+U7+U10</f>
        <v>1.9000000007508788E-2</v>
      </c>
    </row>
    <row r="28" spans="1:21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221897.46</v>
      </c>
      <c r="O28" s="41">
        <f t="shared" si="13"/>
        <v>221897.46</v>
      </c>
      <c r="P28" s="40"/>
      <c r="Q28" s="40" t="s">
        <v>58</v>
      </c>
      <c r="R28" s="41">
        <f>+R12</f>
        <v>-5.9999999939464033E-3</v>
      </c>
      <c r="S28" s="15"/>
      <c r="T28" s="15"/>
      <c r="U28" s="41">
        <f>+U12</f>
        <v>-5.9999999939464033E-3</v>
      </c>
    </row>
    <row r="29" spans="1:21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4473868.04</v>
      </c>
      <c r="P29" s="41">
        <f>+O29-F19</f>
        <v>0</v>
      </c>
      <c r="Q29" s="40"/>
      <c r="R29" s="40"/>
      <c r="S29" s="15"/>
      <c r="T29" s="15"/>
      <c r="U29" s="15"/>
    </row>
  </sheetData>
  <mergeCells count="5">
    <mergeCell ref="A19:D19"/>
    <mergeCell ref="A1:C1"/>
    <mergeCell ref="I4:J4"/>
    <mergeCell ref="M4:N4"/>
    <mergeCell ref="A3:C4"/>
  </mergeCells>
  <phoneticPr fontId="6" type="noConversion"/>
  <pageMargins left="0.75" right="0.75" top="1" bottom="1" header="0.5" footer="0.5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U29"/>
  <sheetViews>
    <sheetView showGridLines="0" zoomScaleNormal="100" workbookViewId="0">
      <selection activeCell="A2" sqref="A2:XFD29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2.5703125" bestFit="1" customWidth="1"/>
    <col min="8" max="8" width="2.5703125" customWidth="1"/>
    <col min="9" max="9" width="8" bestFit="1" customWidth="1"/>
    <col min="10" max="10" width="11.42578125" bestFit="1" customWidth="1"/>
    <col min="11" max="11" width="7" style="15" bestFit="1" customWidth="1"/>
    <col min="12" max="12" width="2.7109375" customWidth="1"/>
    <col min="13" max="13" width="8.7109375" bestFit="1" customWidth="1"/>
    <col min="14" max="14" width="14.85546875" bestFit="1" customWidth="1"/>
    <col min="15" max="15" width="14.85546875" style="15" bestFit="1" customWidth="1"/>
    <col min="16" max="16" width="8.85546875" bestFit="1" customWidth="1"/>
    <col min="17" max="17" width="13.85546875" bestFit="1" customWidth="1"/>
    <col min="18" max="18" width="10.28515625" bestFit="1" customWidth="1"/>
    <col min="19" max="19" width="15.140625" bestFit="1" customWidth="1"/>
    <col min="20" max="20" width="13.42578125" bestFit="1" customWidth="1"/>
    <col min="21" max="21" width="10.28515625" bestFit="1" customWidth="1"/>
  </cols>
  <sheetData>
    <row r="1" spans="1:21" ht="15.75" x14ac:dyDescent="0.25">
      <c r="A1" s="57" t="s">
        <v>38</v>
      </c>
      <c r="B1" s="57"/>
      <c r="C1" s="57"/>
    </row>
    <row r="2" spans="1:21" ht="15.75" thickBot="1" x14ac:dyDescent="0.3">
      <c r="A2" s="1"/>
    </row>
    <row r="3" spans="1:21" ht="15.75" thickBot="1" x14ac:dyDescent="0.3">
      <c r="A3" s="49"/>
      <c r="B3" s="50"/>
      <c r="C3" s="51"/>
      <c r="D3" s="3" t="s">
        <v>1</v>
      </c>
      <c r="E3" s="6" t="s">
        <v>48</v>
      </c>
      <c r="F3" s="6" t="s">
        <v>48</v>
      </c>
      <c r="I3" s="6" t="s">
        <v>48</v>
      </c>
      <c r="J3" s="6" t="s">
        <v>48</v>
      </c>
      <c r="M3" s="6" t="s">
        <v>48</v>
      </c>
      <c r="N3" s="6" t="s">
        <v>48</v>
      </c>
    </row>
    <row r="4" spans="1:21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39</v>
      </c>
      <c r="J4" s="72"/>
      <c r="K4" s="24"/>
      <c r="M4" s="55" t="s">
        <v>51</v>
      </c>
      <c r="N4" s="56"/>
      <c r="O4" s="24"/>
    </row>
    <row r="5" spans="1:21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1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3738883</v>
      </c>
      <c r="F6" s="31">
        <v>2095350.76</v>
      </c>
      <c r="G6" s="11">
        <f>+F6/E6</f>
        <v>0.56042159115436352</v>
      </c>
      <c r="H6" s="11"/>
      <c r="I6" s="25">
        <f>E6-M6</f>
        <v>8083</v>
      </c>
      <c r="J6" s="10">
        <f>F6-N6</f>
        <v>4240.3600000001024</v>
      </c>
      <c r="K6" s="23">
        <f t="shared" ref="K6:K10" si="0">IFERROR(J6/I6,0)</f>
        <v>0.52460225163925556</v>
      </c>
      <c r="M6" s="29">
        <v>3730800</v>
      </c>
      <c r="N6" s="31">
        <v>2091110.3999999999</v>
      </c>
      <c r="O6" s="23">
        <f t="shared" ref="O6:O10" si="1">IFERROR(N6/M6,0)</f>
        <v>0.56049919588292052</v>
      </c>
      <c r="P6" s="39">
        <f>+K6-O6</f>
        <v>-3.5896944243664963E-2</v>
      </c>
      <c r="Q6" s="45">
        <f t="shared" ref="Q6:Q17" si="2">+M6*$M$4</f>
        <v>2091113.4</v>
      </c>
      <c r="R6" s="21">
        <f>+N6-Q6</f>
        <v>-3</v>
      </c>
      <c r="S6" s="45">
        <f>+I6*$M$4</f>
        <v>4530.5214999999998</v>
      </c>
      <c r="T6" s="21">
        <f>-S6+J6</f>
        <v>-290.16149999989739</v>
      </c>
      <c r="U6" s="21">
        <f>+R6+T6</f>
        <v>-293.16149999989739</v>
      </c>
    </row>
    <row r="7" spans="1:21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88595</v>
      </c>
      <c r="F7" s="31">
        <v>49657.49</v>
      </c>
      <c r="G7" s="11">
        <f t="shared" ref="G7:G18" si="3">+F7/E7</f>
        <v>0.56049991534510979</v>
      </c>
      <c r="H7" s="11"/>
      <c r="I7" s="25">
        <f t="shared" ref="I7:J18" si="4">E7-M7</f>
        <v>0</v>
      </c>
      <c r="J7" s="10">
        <f t="shared" si="4"/>
        <v>0</v>
      </c>
      <c r="K7" s="23">
        <f t="shared" si="0"/>
        <v>0</v>
      </c>
      <c r="M7" s="29">
        <v>88595</v>
      </c>
      <c r="N7" s="31">
        <v>49657.49</v>
      </c>
      <c r="O7" s="23">
        <f t="shared" si="1"/>
        <v>0.56049991534510979</v>
      </c>
      <c r="P7" s="39">
        <f t="shared" ref="P7:P13" si="5">+K7-O7</f>
        <v>-0.56049991534510979</v>
      </c>
      <c r="Q7" s="45">
        <f t="shared" si="2"/>
        <v>49657.497499999998</v>
      </c>
      <c r="R7" s="21">
        <f t="shared" ref="R7:R18" si="6">+N7-Q7</f>
        <v>-7.4999999997089617E-3</v>
      </c>
      <c r="S7" s="45">
        <f t="shared" ref="S7:S18" si="7">+I7*$M$4</f>
        <v>0</v>
      </c>
      <c r="T7" s="21">
        <f t="shared" ref="T7:T18" si="8">-S7+J7</f>
        <v>0</v>
      </c>
      <c r="U7" s="21">
        <f t="shared" ref="U7:U18" si="9">+R7+T7</f>
        <v>-7.4999999997089617E-3</v>
      </c>
    </row>
    <row r="8" spans="1:21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29">
        <v>980</v>
      </c>
      <c r="F8" s="31">
        <v>549.29</v>
      </c>
      <c r="G8" s="11">
        <f t="shared" si="3"/>
        <v>0.5605</v>
      </c>
      <c r="H8" s="12"/>
      <c r="I8" s="25">
        <f t="shared" si="4"/>
        <v>0</v>
      </c>
      <c r="J8" s="10">
        <f t="shared" si="4"/>
        <v>0</v>
      </c>
      <c r="K8" s="23">
        <f t="shared" si="0"/>
        <v>0</v>
      </c>
      <c r="M8" s="29">
        <v>980</v>
      </c>
      <c r="N8" s="31">
        <v>549.29</v>
      </c>
      <c r="O8" s="23">
        <f t="shared" si="1"/>
        <v>0.5605</v>
      </c>
      <c r="P8" s="39"/>
      <c r="Q8" s="45">
        <f t="shared" si="2"/>
        <v>549.29</v>
      </c>
      <c r="R8" s="21">
        <f t="shared" si="6"/>
        <v>0</v>
      </c>
      <c r="S8" s="45">
        <f t="shared" si="7"/>
        <v>0</v>
      </c>
      <c r="T8" s="21">
        <f t="shared" si="8"/>
        <v>0</v>
      </c>
      <c r="U8" s="21">
        <f t="shared" si="9"/>
        <v>0</v>
      </c>
    </row>
    <row r="9" spans="1:21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496053</v>
      </c>
      <c r="F9" s="31">
        <v>278040.38</v>
      </c>
      <c r="G9" s="11">
        <f t="shared" si="3"/>
        <v>0.56050538954506879</v>
      </c>
      <c r="H9" s="11"/>
      <c r="I9" s="25">
        <f t="shared" si="4"/>
        <v>8382</v>
      </c>
      <c r="J9" s="10">
        <f t="shared" si="4"/>
        <v>4700.7999999999884</v>
      </c>
      <c r="K9" s="23">
        <f t="shared" si="0"/>
        <v>0.56082080649009647</v>
      </c>
      <c r="M9" s="29">
        <v>487671</v>
      </c>
      <c r="N9" s="31">
        <v>273339.58</v>
      </c>
      <c r="O9" s="23">
        <f t="shared" si="1"/>
        <v>0.56049996821627701</v>
      </c>
      <c r="P9" s="39">
        <f t="shared" si="5"/>
        <v>3.2083827381945706E-4</v>
      </c>
      <c r="Q9" s="45">
        <f t="shared" si="2"/>
        <v>273339.5955</v>
      </c>
      <c r="R9" s="21">
        <f t="shared" si="6"/>
        <v>-1.5499999979510903E-2</v>
      </c>
      <c r="S9" s="45">
        <f t="shared" si="7"/>
        <v>4698.1109999999999</v>
      </c>
      <c r="T9" s="21">
        <f t="shared" si="8"/>
        <v>2.6889999999884822</v>
      </c>
      <c r="U9" s="21">
        <f t="shared" si="9"/>
        <v>2.6735000000089713</v>
      </c>
    </row>
    <row r="10" spans="1:21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167968</v>
      </c>
      <c r="F10" s="31">
        <v>94146.06</v>
      </c>
      <c r="G10" s="11">
        <f t="shared" si="3"/>
        <v>0.56049997618594016</v>
      </c>
      <c r="H10" s="11"/>
      <c r="I10" s="25">
        <f t="shared" si="4"/>
        <v>0</v>
      </c>
      <c r="J10" s="10">
        <f t="shared" si="4"/>
        <v>0</v>
      </c>
      <c r="K10" s="23">
        <f t="shared" si="0"/>
        <v>0</v>
      </c>
      <c r="M10" s="29">
        <v>167968</v>
      </c>
      <c r="N10" s="31">
        <v>94146.06</v>
      </c>
      <c r="O10" s="23">
        <f t="shared" si="1"/>
        <v>0.56049997618594016</v>
      </c>
      <c r="P10" s="39">
        <f t="shared" si="5"/>
        <v>-0.56049997618594016</v>
      </c>
      <c r="Q10" s="45">
        <f t="shared" si="2"/>
        <v>94146.063999999998</v>
      </c>
      <c r="R10" s="21">
        <f t="shared" si="6"/>
        <v>-4.0000000008149073E-3</v>
      </c>
      <c r="S10" s="45">
        <f t="shared" si="7"/>
        <v>0</v>
      </c>
      <c r="T10" s="21">
        <f t="shared" si="8"/>
        <v>0</v>
      </c>
      <c r="U10" s="21">
        <f t="shared" si="9"/>
        <v>-4.0000000008149073E-3</v>
      </c>
    </row>
    <row r="11" spans="1:21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22109</v>
      </c>
      <c r="F11" s="31">
        <v>12392.09</v>
      </c>
      <c r="G11" s="11">
        <f t="shared" si="3"/>
        <v>0.56049979646297887</v>
      </c>
      <c r="H11" s="12"/>
      <c r="I11" s="25">
        <f t="shared" si="4"/>
        <v>0</v>
      </c>
      <c r="J11" s="10">
        <f t="shared" si="4"/>
        <v>0</v>
      </c>
      <c r="K11" s="23">
        <f>IFERROR(J11/I11,0)</f>
        <v>0</v>
      </c>
      <c r="M11" s="29">
        <v>22109</v>
      </c>
      <c r="N11" s="31">
        <v>12392.09</v>
      </c>
      <c r="O11" s="23">
        <f>IFERROR(N11/M11,0)</f>
        <v>0.56049979646297887</v>
      </c>
      <c r="P11" s="39"/>
      <c r="Q11" s="45">
        <f t="shared" si="2"/>
        <v>12392.094499999999</v>
      </c>
      <c r="R11" s="21">
        <f t="shared" si="6"/>
        <v>-4.4999999990977813E-3</v>
      </c>
      <c r="S11" s="45">
        <f t="shared" si="7"/>
        <v>0</v>
      </c>
      <c r="T11" s="21">
        <f t="shared" si="8"/>
        <v>0</v>
      </c>
      <c r="U11" s="21">
        <f t="shared" si="9"/>
        <v>-4.4999999990977813E-3</v>
      </c>
    </row>
    <row r="12" spans="1:21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32">
        <v>548813</v>
      </c>
      <c r="F12" s="32">
        <v>307609.69</v>
      </c>
      <c r="G12" s="11">
        <f t="shared" si="3"/>
        <v>0.56050000637739994</v>
      </c>
      <c r="H12" s="11"/>
      <c r="I12" s="25">
        <f t="shared" si="4"/>
        <v>0</v>
      </c>
      <c r="J12" s="10">
        <f t="shared" si="4"/>
        <v>0</v>
      </c>
      <c r="K12" s="23">
        <f t="shared" ref="K12:K18" si="10">IFERROR(J12/I12,0)</f>
        <v>0</v>
      </c>
      <c r="M12" s="29">
        <v>548813</v>
      </c>
      <c r="N12" s="31">
        <v>307609.69</v>
      </c>
      <c r="O12" s="23">
        <f t="shared" ref="O12:O18" si="11">IFERROR(N12/M12,0)</f>
        <v>0.56050000637739994</v>
      </c>
      <c r="P12" s="39"/>
      <c r="Q12" s="45">
        <f t="shared" si="2"/>
        <v>307609.68650000001</v>
      </c>
      <c r="R12" s="21">
        <f t="shared" si="6"/>
        <v>3.4999999916180968E-3</v>
      </c>
      <c r="S12" s="45">
        <f t="shared" si="7"/>
        <v>0</v>
      </c>
      <c r="T12" s="21">
        <f t="shared" si="8"/>
        <v>0</v>
      </c>
      <c r="U12" s="21">
        <f t="shared" si="9"/>
        <v>3.4999999916180968E-3</v>
      </c>
    </row>
    <row r="13" spans="1:21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5743591</v>
      </c>
      <c r="F13" s="31">
        <v>3219479.92</v>
      </c>
      <c r="G13" s="11">
        <f t="shared" si="3"/>
        <v>0.56053432774025869</v>
      </c>
      <c r="H13" s="11"/>
      <c r="I13" s="25">
        <f t="shared" si="4"/>
        <v>-15210</v>
      </c>
      <c r="J13" s="10">
        <f t="shared" si="4"/>
        <v>-8416.7900000000373</v>
      </c>
      <c r="K13" s="23">
        <f t="shared" si="10"/>
        <v>0.55337212360289534</v>
      </c>
      <c r="M13" s="29">
        <v>5758801</v>
      </c>
      <c r="N13" s="31">
        <v>3227896.71</v>
      </c>
      <c r="O13" s="23">
        <f t="shared" si="11"/>
        <v>0.56051541110727732</v>
      </c>
      <c r="P13" s="39">
        <f t="shared" si="5"/>
        <v>-7.1432875043819788E-3</v>
      </c>
      <c r="Q13" s="45">
        <f t="shared" si="2"/>
        <v>3227807.9605</v>
      </c>
      <c r="R13" s="21">
        <f t="shared" si="6"/>
        <v>88.749499999918044</v>
      </c>
      <c r="S13" s="45">
        <f t="shared" si="7"/>
        <v>-8525.2049999999999</v>
      </c>
      <c r="T13" s="21">
        <f t="shared" si="8"/>
        <v>108.41499999996267</v>
      </c>
      <c r="U13" s="21">
        <f t="shared" si="9"/>
        <v>197.16449999988072</v>
      </c>
    </row>
    <row r="14" spans="1:21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32">
        <v>622</v>
      </c>
      <c r="F14" s="32">
        <v>348.63</v>
      </c>
      <c r="G14" s="11">
        <f t="shared" si="3"/>
        <v>0.56049839228295817</v>
      </c>
      <c r="H14" s="11"/>
      <c r="I14" s="25">
        <f t="shared" si="4"/>
        <v>0</v>
      </c>
      <c r="J14" s="10">
        <f t="shared" si="4"/>
        <v>0</v>
      </c>
      <c r="K14" s="23">
        <f t="shared" si="10"/>
        <v>0</v>
      </c>
      <c r="M14" s="29">
        <v>622</v>
      </c>
      <c r="N14" s="31">
        <v>348.63</v>
      </c>
      <c r="O14" s="23">
        <f t="shared" si="11"/>
        <v>0.56049839228295817</v>
      </c>
      <c r="P14" s="39"/>
      <c r="Q14" s="45">
        <f t="shared" si="2"/>
        <v>348.63099999999997</v>
      </c>
      <c r="R14" s="21">
        <f t="shared" si="6"/>
        <v>-9.9999999997635314E-4</v>
      </c>
      <c r="S14" s="45">
        <f t="shared" si="7"/>
        <v>0</v>
      </c>
      <c r="T14" s="21">
        <f t="shared" si="8"/>
        <v>0</v>
      </c>
      <c r="U14" s="21">
        <f t="shared" si="9"/>
        <v>-9.9999999997635314E-4</v>
      </c>
    </row>
    <row r="15" spans="1:21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383</v>
      </c>
      <c r="F15" s="31">
        <v>214.68</v>
      </c>
      <c r="G15" s="11">
        <f t="shared" si="3"/>
        <v>0.56052219321148822</v>
      </c>
      <c r="H15" s="11"/>
      <c r="I15" s="25">
        <f t="shared" si="4"/>
        <v>0</v>
      </c>
      <c r="J15" s="10">
        <f t="shared" si="4"/>
        <v>0</v>
      </c>
      <c r="K15" s="23">
        <f t="shared" si="10"/>
        <v>0</v>
      </c>
      <c r="M15" s="29">
        <v>383</v>
      </c>
      <c r="N15" s="31">
        <v>214.68</v>
      </c>
      <c r="O15" s="23">
        <f t="shared" si="11"/>
        <v>0.56052219321148822</v>
      </c>
      <c r="P15" s="39"/>
      <c r="Q15" s="45">
        <f t="shared" si="2"/>
        <v>214.67150000000001</v>
      </c>
      <c r="R15" s="21">
        <f t="shared" si="6"/>
        <v>8.4999999999979536E-3</v>
      </c>
      <c r="S15" s="45">
        <f t="shared" si="7"/>
        <v>0</v>
      </c>
      <c r="T15" s="21">
        <f t="shared" si="8"/>
        <v>0</v>
      </c>
      <c r="U15" s="21">
        <f t="shared" si="9"/>
        <v>8.4999999999979536E-3</v>
      </c>
    </row>
    <row r="16" spans="1:21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32">
        <v>32</v>
      </c>
      <c r="F16" s="32">
        <v>17.940000000000001</v>
      </c>
      <c r="G16" s="11">
        <f t="shared" si="3"/>
        <v>0.56062500000000004</v>
      </c>
      <c r="H16" s="11"/>
      <c r="I16" s="25">
        <f t="shared" si="4"/>
        <v>0</v>
      </c>
      <c r="J16" s="10">
        <f t="shared" si="4"/>
        <v>0</v>
      </c>
      <c r="K16" s="23">
        <f t="shared" si="10"/>
        <v>0</v>
      </c>
      <c r="M16" s="29">
        <v>32</v>
      </c>
      <c r="N16" s="31">
        <v>17.940000000000001</v>
      </c>
      <c r="O16" s="23">
        <f t="shared" si="11"/>
        <v>0.56062500000000004</v>
      </c>
      <c r="P16" s="39"/>
      <c r="Q16" s="45">
        <f t="shared" si="2"/>
        <v>17.936</v>
      </c>
      <c r="R16" s="21">
        <f t="shared" si="6"/>
        <v>4.0000000000013358E-3</v>
      </c>
      <c r="S16" s="45">
        <f t="shared" si="7"/>
        <v>0</v>
      </c>
      <c r="T16" s="21">
        <f t="shared" si="8"/>
        <v>0</v>
      </c>
      <c r="U16" s="21">
        <f t="shared" si="9"/>
        <v>4.0000000000013358E-3</v>
      </c>
    </row>
    <row r="17" spans="1:21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31">
        <v>200.66</v>
      </c>
      <c r="G17" s="11">
        <f t="shared" si="3"/>
        <v>0.56050279329608943</v>
      </c>
      <c r="H17" s="11"/>
      <c r="I17" s="25">
        <f t="shared" si="4"/>
        <v>0</v>
      </c>
      <c r="J17" s="10">
        <f t="shared" si="4"/>
        <v>0</v>
      </c>
      <c r="K17" s="23">
        <f t="shared" si="10"/>
        <v>0</v>
      </c>
      <c r="M17" s="29">
        <v>358</v>
      </c>
      <c r="N17" s="31">
        <v>200.66</v>
      </c>
      <c r="O17" s="23">
        <f t="shared" si="11"/>
        <v>0.56050279329608943</v>
      </c>
      <c r="P17" s="39"/>
      <c r="Q17" s="45">
        <f t="shared" si="2"/>
        <v>200.65899999999999</v>
      </c>
      <c r="R17" s="21">
        <f t="shared" si="6"/>
        <v>1.0000000000047748E-3</v>
      </c>
      <c r="S17" s="45">
        <f t="shared" si="7"/>
        <v>0</v>
      </c>
      <c r="T17" s="21">
        <f t="shared" si="8"/>
        <v>0</v>
      </c>
      <c r="U17" s="21">
        <f t="shared" si="9"/>
        <v>1.0000000000047748E-3</v>
      </c>
    </row>
    <row r="18" spans="1:21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32">
        <v>613</v>
      </c>
      <c r="F18" s="32">
        <v>343.28</v>
      </c>
      <c r="G18" s="11">
        <f t="shared" si="3"/>
        <v>0.55999999999999994</v>
      </c>
      <c r="H18" s="11"/>
      <c r="I18" s="25">
        <f t="shared" si="4"/>
        <v>0</v>
      </c>
      <c r="J18" s="10">
        <f t="shared" si="4"/>
        <v>0</v>
      </c>
      <c r="K18" s="23">
        <f t="shared" si="10"/>
        <v>0</v>
      </c>
      <c r="M18" s="29">
        <v>613</v>
      </c>
      <c r="N18" s="31">
        <v>343.28</v>
      </c>
      <c r="O18" s="23">
        <f t="shared" si="11"/>
        <v>0.55999999999999994</v>
      </c>
      <c r="P18" s="39"/>
      <c r="Q18" s="45">
        <f>+M18*$M$4</f>
        <v>343.5865</v>
      </c>
      <c r="R18" s="21">
        <f t="shared" si="6"/>
        <v>-0.30650000000002819</v>
      </c>
      <c r="S18" s="45">
        <f t="shared" si="7"/>
        <v>0</v>
      </c>
      <c r="T18" s="21">
        <f t="shared" si="8"/>
        <v>0</v>
      </c>
      <c r="U18" s="21">
        <f t="shared" si="9"/>
        <v>-0.30650000000002819</v>
      </c>
    </row>
    <row r="19" spans="1:21" ht="15.75" thickBot="1" x14ac:dyDescent="0.3">
      <c r="A19" s="46" t="s">
        <v>2</v>
      </c>
      <c r="B19" s="47"/>
      <c r="C19" s="47"/>
      <c r="D19" s="48"/>
      <c r="E19" s="7">
        <f>SUM(E6:E18)</f>
        <v>10809000</v>
      </c>
      <c r="F19" s="9">
        <f>SUM(F6:F18)</f>
        <v>6058350.8700000001</v>
      </c>
      <c r="I19" s="26">
        <f>SUM(I6:I18)</f>
        <v>1255</v>
      </c>
      <c r="J19" s="9">
        <f>SUM(J6:J18)</f>
        <v>524.37000000005355</v>
      </c>
      <c r="M19" s="7">
        <f>SUM(M6:M18)</f>
        <v>10807745</v>
      </c>
      <c r="N19" s="9">
        <f>SUM(N6:N18)</f>
        <v>6057826.5000000009</v>
      </c>
      <c r="P19" s="15"/>
      <c r="Q19" s="15"/>
      <c r="R19" s="21">
        <f>SUM(R6:R18)</f>
        <v>85.427499999930532</v>
      </c>
      <c r="S19" s="15"/>
      <c r="T19" s="15"/>
      <c r="U19" s="15"/>
    </row>
    <row r="20" spans="1:21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5"/>
      <c r="T20" s="15"/>
      <c r="U20" s="15"/>
    </row>
    <row r="21" spans="1:21" x14ac:dyDescent="0.25">
      <c r="G21" s="40"/>
      <c r="H21" s="40"/>
      <c r="I21" s="40"/>
      <c r="J21" s="40"/>
      <c r="K21" s="40"/>
      <c r="L21" s="40"/>
      <c r="M21" s="40"/>
      <c r="N21" s="41">
        <f>+N19+J19</f>
        <v>6058350.870000001</v>
      </c>
      <c r="O21" s="40"/>
      <c r="P21" s="40"/>
      <c r="Q21" s="40"/>
      <c r="R21" s="40"/>
      <c r="S21" s="15"/>
      <c r="T21" s="15"/>
      <c r="U21" s="15"/>
    </row>
    <row r="22" spans="1:21" x14ac:dyDescent="0.25">
      <c r="G22" s="40"/>
      <c r="H22" s="40"/>
      <c r="I22" s="40"/>
      <c r="J22" s="40"/>
      <c r="K22" s="40"/>
      <c r="L22" s="40"/>
      <c r="M22" s="40"/>
      <c r="N22" s="41">
        <f>+F19-N21</f>
        <v>0</v>
      </c>
      <c r="O22" s="40"/>
      <c r="P22" s="40"/>
      <c r="Q22" s="40"/>
      <c r="R22" s="40"/>
      <c r="S22" s="15"/>
      <c r="T22" s="15"/>
      <c r="U22" s="15"/>
    </row>
    <row r="23" spans="1:21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  <c r="T23" s="15"/>
      <c r="U23" s="15"/>
    </row>
    <row r="24" spans="1:21" x14ac:dyDescent="0.25">
      <c r="G24" s="40" t="s">
        <v>54</v>
      </c>
      <c r="H24" s="40"/>
      <c r="I24" s="40"/>
      <c r="J24" s="41">
        <f>+J13+J14+J15+J16</f>
        <v>-8416.7900000000373</v>
      </c>
      <c r="K24" s="40"/>
      <c r="L24" s="40"/>
      <c r="M24" s="40"/>
      <c r="N24" s="41">
        <f>+N13+N14+N15+N16</f>
        <v>3228477.96</v>
      </c>
      <c r="O24" s="41">
        <f>+N24+J24</f>
        <v>3220061.17</v>
      </c>
      <c r="P24" s="40"/>
      <c r="Q24" s="40" t="s">
        <v>54</v>
      </c>
      <c r="R24" s="41">
        <f>+R13+R14+R15+R16</f>
        <v>88.76099999991807</v>
      </c>
      <c r="S24" s="15"/>
      <c r="T24" s="15"/>
      <c r="U24" s="41">
        <f>+U13+U14+U15+U16</f>
        <v>197.17599999988073</v>
      </c>
    </row>
    <row r="25" spans="1:21" x14ac:dyDescent="0.25">
      <c r="G25" s="40" t="s">
        <v>55</v>
      </c>
      <c r="H25" s="40"/>
      <c r="I25" s="40"/>
      <c r="J25" s="41">
        <f>+J6+J17+J18+J8</f>
        <v>4240.3600000001024</v>
      </c>
      <c r="K25" s="40"/>
      <c r="L25" s="40"/>
      <c r="M25" s="40"/>
      <c r="N25" s="41">
        <f>+N6+N17+N18+N8</f>
        <v>2092203.63</v>
      </c>
      <c r="O25" s="41">
        <f t="shared" ref="O25:O28" si="12">+N25+J25</f>
        <v>2096443.99</v>
      </c>
      <c r="P25" s="40"/>
      <c r="Q25" s="40" t="s">
        <v>55</v>
      </c>
      <c r="R25" s="41">
        <f>+R6+R17+R18+R8</f>
        <v>-3.3055000000000234</v>
      </c>
      <c r="S25" s="15"/>
      <c r="T25" s="15"/>
      <c r="U25" s="41">
        <f>+U6+U17+U18+U8</f>
        <v>-293.46699999989744</v>
      </c>
    </row>
    <row r="26" spans="1:21" x14ac:dyDescent="0.25">
      <c r="G26" s="40" t="s">
        <v>56</v>
      </c>
      <c r="H26" s="40"/>
      <c r="I26" s="40"/>
      <c r="J26" s="41">
        <f>+J9+J11</f>
        <v>4700.7999999999884</v>
      </c>
      <c r="K26" s="40"/>
      <c r="L26" s="40"/>
      <c r="M26" s="40"/>
      <c r="N26" s="41">
        <f>+N9+N11</f>
        <v>285731.67000000004</v>
      </c>
      <c r="O26" s="41">
        <f t="shared" si="12"/>
        <v>290432.47000000003</v>
      </c>
      <c r="P26" s="40"/>
      <c r="Q26" s="40" t="s">
        <v>56</v>
      </c>
      <c r="R26" s="41">
        <f>+R9+R11</f>
        <v>-1.9999999978608685E-2</v>
      </c>
      <c r="S26" s="15"/>
      <c r="T26" s="15"/>
      <c r="U26" s="41">
        <f>+U9+U11</f>
        <v>2.6690000000098735</v>
      </c>
    </row>
    <row r="27" spans="1:21" x14ac:dyDescent="0.25">
      <c r="G27" s="40" t="s">
        <v>57</v>
      </c>
      <c r="H27" s="40"/>
      <c r="I27" s="40"/>
      <c r="J27" s="41">
        <f>+J7+J10</f>
        <v>0</v>
      </c>
      <c r="K27" s="40"/>
      <c r="L27" s="40"/>
      <c r="M27" s="40"/>
      <c r="N27" s="41">
        <f>+N7+N10</f>
        <v>143803.54999999999</v>
      </c>
      <c r="O27" s="41">
        <f t="shared" si="12"/>
        <v>143803.54999999999</v>
      </c>
      <c r="P27" s="40"/>
      <c r="Q27" s="40" t="s">
        <v>57</v>
      </c>
      <c r="R27" s="41">
        <f>+R7+R10</f>
        <v>-1.1500000000523869E-2</v>
      </c>
      <c r="S27" s="15"/>
      <c r="T27" s="15"/>
      <c r="U27" s="41">
        <f>+U7+U10</f>
        <v>-1.1500000000523869E-2</v>
      </c>
    </row>
    <row r="28" spans="1:21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307609.69</v>
      </c>
      <c r="O28" s="41">
        <f t="shared" si="12"/>
        <v>307609.69</v>
      </c>
      <c r="P28" s="40"/>
      <c r="Q28" s="40" t="s">
        <v>58</v>
      </c>
      <c r="R28" s="41">
        <f>+R12</f>
        <v>3.4999999916180968E-3</v>
      </c>
      <c r="S28" s="15"/>
      <c r="T28" s="15"/>
      <c r="U28" s="41">
        <f>+U12</f>
        <v>3.4999999916180968E-3</v>
      </c>
    </row>
    <row r="29" spans="1:21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6058350.8700000001</v>
      </c>
      <c r="P29" s="41">
        <f>+O29-F19</f>
        <v>0</v>
      </c>
      <c r="Q29" s="40"/>
      <c r="R29" s="40"/>
      <c r="S29" s="15"/>
      <c r="T29" s="15"/>
      <c r="U29" s="15"/>
    </row>
  </sheetData>
  <mergeCells count="5">
    <mergeCell ref="A19:D19"/>
    <mergeCell ref="A1:C1"/>
    <mergeCell ref="I4:J4"/>
    <mergeCell ref="M4:N4"/>
    <mergeCell ref="A3:C4"/>
  </mergeCells>
  <phoneticPr fontId="6" type="noConversion"/>
  <pageMargins left="0.75" right="0.75" top="1" bottom="1" header="0.5" footer="0.5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35"/>
  <sheetViews>
    <sheetView showGridLines="0" zoomScaleNormal="100" workbookViewId="0">
      <selection activeCell="A2" sqref="A2:XFD29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2.5703125" bestFit="1" customWidth="1"/>
    <col min="8" max="8" width="2.5703125" customWidth="1"/>
    <col min="9" max="9" width="9.5703125" bestFit="1" customWidth="1"/>
    <col min="10" max="10" width="14.85546875" bestFit="1" customWidth="1"/>
    <col min="11" max="11" width="12" style="15" bestFit="1" customWidth="1"/>
    <col min="12" max="12" width="2.7109375" customWidth="1"/>
    <col min="13" max="13" width="8.7109375" bestFit="1" customWidth="1"/>
    <col min="14" max="14" width="15.85546875" bestFit="1" customWidth="1"/>
    <col min="15" max="15" width="15.85546875" style="15" bestFit="1" customWidth="1"/>
    <col min="16" max="16" width="6" bestFit="1" customWidth="1"/>
    <col min="17" max="17" width="15.140625" bestFit="1" customWidth="1"/>
    <col min="18" max="18" width="13" bestFit="1" customWidth="1"/>
    <col min="19" max="19" width="15.140625" bestFit="1" customWidth="1"/>
    <col min="20" max="20" width="12" bestFit="1" customWidth="1"/>
    <col min="21" max="22" width="15.140625" bestFit="1" customWidth="1"/>
  </cols>
  <sheetData>
    <row r="1" spans="1:22" ht="15.75" x14ac:dyDescent="0.25">
      <c r="A1" s="57" t="s">
        <v>38</v>
      </c>
      <c r="B1" s="57"/>
      <c r="C1" s="57"/>
    </row>
    <row r="2" spans="1:22" ht="15.75" thickBot="1" x14ac:dyDescent="0.3">
      <c r="A2" s="1"/>
    </row>
    <row r="3" spans="1:22" ht="15.75" thickBot="1" x14ac:dyDescent="0.3">
      <c r="A3" s="49"/>
      <c r="B3" s="50"/>
      <c r="C3" s="51"/>
      <c r="D3" s="3" t="s">
        <v>1</v>
      </c>
      <c r="E3" s="6" t="s">
        <v>47</v>
      </c>
      <c r="F3" s="6" t="s">
        <v>47</v>
      </c>
      <c r="I3" s="6" t="s">
        <v>47</v>
      </c>
      <c r="J3" s="6" t="s">
        <v>47</v>
      </c>
      <c r="M3" s="6" t="s">
        <v>47</v>
      </c>
      <c r="N3" s="6" t="s">
        <v>47</v>
      </c>
    </row>
    <row r="4" spans="1:22" ht="15.75" customHeight="1" thickBot="1" x14ac:dyDescent="0.3">
      <c r="A4" s="52"/>
      <c r="B4" s="53"/>
      <c r="C4" s="54"/>
      <c r="D4" s="3"/>
      <c r="E4" s="6" t="s">
        <v>3</v>
      </c>
      <c r="F4" s="6" t="s">
        <v>4</v>
      </c>
      <c r="I4" s="55" t="s">
        <v>51</v>
      </c>
      <c r="J4" s="56"/>
      <c r="K4" s="24"/>
      <c r="M4" s="55" t="s">
        <v>53</v>
      </c>
      <c r="N4" s="56"/>
      <c r="O4" s="24"/>
    </row>
    <row r="5" spans="1:22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2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5912294</v>
      </c>
      <c r="F6" s="31">
        <v>3172685.43</v>
      </c>
      <c r="G6" s="11">
        <f>+F6/E6</f>
        <v>0.53662511201235941</v>
      </c>
      <c r="H6" s="11"/>
      <c r="I6" s="25">
        <f>E6-M6</f>
        <v>3057455</v>
      </c>
      <c r="J6" s="10">
        <f>F6-N6</f>
        <v>1704972.9500000002</v>
      </c>
      <c r="K6" s="23">
        <f t="shared" ref="K6:K10" si="0">IFERROR(J6/I6,0)</f>
        <v>0.55764449517654391</v>
      </c>
      <c r="M6" s="29">
        <f>2854519+320</f>
        <v>2854839</v>
      </c>
      <c r="N6" s="31">
        <f>1467541.48+171</f>
        <v>1467712.48</v>
      </c>
      <c r="O6" s="23">
        <f t="shared" ref="O6:O10" si="1">IFERROR(N6/M6,0)</f>
        <v>0.51411392376242582</v>
      </c>
      <c r="Q6" s="21">
        <f>+I6*$I$4</f>
        <v>1713703.5275000001</v>
      </c>
      <c r="R6" s="21">
        <f>+J6-Q6</f>
        <v>-8730.5774999998976</v>
      </c>
      <c r="S6" s="21">
        <f>+M6*$M$4</f>
        <v>1473154.0207800001</v>
      </c>
      <c r="T6" s="21">
        <f>+N6-S6</f>
        <v>-5441.5407800001558</v>
      </c>
      <c r="U6" s="38">
        <f>+Q6+S6</f>
        <v>3186857.5482800002</v>
      </c>
      <c r="V6" s="38">
        <f>+R6+T6</f>
        <v>-14172.118280000053</v>
      </c>
    </row>
    <row r="7" spans="1:22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432445</v>
      </c>
      <c r="F7" s="31">
        <v>239601.62</v>
      </c>
      <c r="G7" s="11">
        <f t="shared" ref="G7:G18" si="2">+F7/E7</f>
        <v>0.55406264380441439</v>
      </c>
      <c r="H7" s="11"/>
      <c r="I7" s="25">
        <f t="shared" ref="I7:J18" si="3">E7-M7</f>
        <v>366940</v>
      </c>
      <c r="J7" s="10">
        <f t="shared" si="3"/>
        <v>205700.1</v>
      </c>
      <c r="K7" s="23">
        <f t="shared" si="0"/>
        <v>0.56058238404098759</v>
      </c>
      <c r="M7" s="29">
        <v>65505</v>
      </c>
      <c r="N7" s="31">
        <v>33901.519999999997</v>
      </c>
      <c r="O7" s="23">
        <f t="shared" si="1"/>
        <v>0.51754095107243714</v>
      </c>
      <c r="Q7" s="21">
        <f t="shared" ref="Q7:Q18" si="4">+I7*$I$4</f>
        <v>205669.87</v>
      </c>
      <c r="R7" s="21">
        <f t="shared" ref="R7:R18" si="5">+J7-Q7</f>
        <v>30.230000000010477</v>
      </c>
      <c r="S7" s="21">
        <f t="shared" ref="S7:S18" si="6">+M7*$M$4</f>
        <v>33801.890100000004</v>
      </c>
      <c r="T7" s="21">
        <f t="shared" ref="T7:T18" si="7">+N7-S7</f>
        <v>99.629899999992631</v>
      </c>
      <c r="U7" s="38">
        <f t="shared" ref="U7:U18" si="8">+Q7+S7</f>
        <v>239471.76010000001</v>
      </c>
      <c r="V7" s="38">
        <f t="shared" ref="V7:V18" si="9">+R7+T7</f>
        <v>129.85990000000311</v>
      </c>
    </row>
    <row r="8" spans="1:22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29">
        <v>0</v>
      </c>
      <c r="F8" s="31">
        <v>0</v>
      </c>
      <c r="G8" s="11">
        <f>IFERROR(+F8/E8,0)</f>
        <v>0</v>
      </c>
      <c r="H8" s="12"/>
      <c r="I8" s="25">
        <f t="shared" si="3"/>
        <v>0</v>
      </c>
      <c r="J8" s="10">
        <f t="shared" si="3"/>
        <v>0</v>
      </c>
      <c r="K8" s="23">
        <f t="shared" si="0"/>
        <v>0</v>
      </c>
      <c r="M8" s="29">
        <v>0</v>
      </c>
      <c r="N8" s="31">
        <v>0</v>
      </c>
      <c r="O8" s="23">
        <f t="shared" si="1"/>
        <v>0</v>
      </c>
      <c r="Q8" s="21">
        <f t="shared" si="4"/>
        <v>0</v>
      </c>
      <c r="R8" s="21">
        <f t="shared" si="5"/>
        <v>0</v>
      </c>
      <c r="S8" s="21">
        <f t="shared" si="6"/>
        <v>0</v>
      </c>
      <c r="T8" s="21">
        <f t="shared" si="7"/>
        <v>0</v>
      </c>
      <c r="U8" s="38">
        <f t="shared" si="8"/>
        <v>0</v>
      </c>
      <c r="V8" s="38">
        <f t="shared" si="9"/>
        <v>0</v>
      </c>
    </row>
    <row r="9" spans="1:22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628297</v>
      </c>
      <c r="F9" s="31">
        <v>336212.32</v>
      </c>
      <c r="G9" s="11">
        <f t="shared" si="2"/>
        <v>0.53511686352155108</v>
      </c>
      <c r="H9" s="11"/>
      <c r="I9" s="25">
        <f t="shared" si="3"/>
        <v>275768</v>
      </c>
      <c r="J9" s="10">
        <f t="shared" si="3"/>
        <v>154300.30000000002</v>
      </c>
      <c r="K9" s="23">
        <f t="shared" si="0"/>
        <v>0.55952938702097421</v>
      </c>
      <c r="M9" s="29">
        <v>352529</v>
      </c>
      <c r="N9" s="31">
        <v>181912.02</v>
      </c>
      <c r="O9" s="23">
        <f t="shared" si="1"/>
        <v>0.51602001537462161</v>
      </c>
      <c r="Q9" s="21">
        <f t="shared" si="4"/>
        <v>154567.96400000001</v>
      </c>
      <c r="R9" s="21">
        <f t="shared" si="5"/>
        <v>-267.66399999998976</v>
      </c>
      <c r="S9" s="21">
        <f t="shared" si="6"/>
        <v>181912.01458000002</v>
      </c>
      <c r="T9" s="21">
        <f t="shared" si="7"/>
        <v>5.4199999722186476E-3</v>
      </c>
      <c r="U9" s="38">
        <f t="shared" si="8"/>
        <v>336479.97858</v>
      </c>
      <c r="V9" s="38">
        <f t="shared" si="9"/>
        <v>-267.65858000001754</v>
      </c>
    </row>
    <row r="10" spans="1:22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138515</v>
      </c>
      <c r="F10" s="31">
        <v>72991.820000000007</v>
      </c>
      <c r="G10" s="11">
        <f t="shared" si="2"/>
        <v>0.52695967945709854</v>
      </c>
      <c r="H10" s="11"/>
      <c r="I10" s="25">
        <f t="shared" si="3"/>
        <v>34067</v>
      </c>
      <c r="J10" s="10">
        <f t="shared" si="3"/>
        <v>19094.560000000005</v>
      </c>
      <c r="K10" s="23">
        <f t="shared" si="0"/>
        <v>0.56050019080048152</v>
      </c>
      <c r="M10" s="29">
        <v>104448</v>
      </c>
      <c r="N10" s="31">
        <v>53897.26</v>
      </c>
      <c r="O10" s="23">
        <f t="shared" si="1"/>
        <v>0.51602002910539213</v>
      </c>
      <c r="Q10" s="21">
        <f t="shared" si="4"/>
        <v>19094.553499999998</v>
      </c>
      <c r="R10" s="21">
        <f t="shared" si="5"/>
        <v>6.5000000067811925E-3</v>
      </c>
      <c r="S10" s="21">
        <f t="shared" si="6"/>
        <v>53897.256960000006</v>
      </c>
      <c r="T10" s="21">
        <f t="shared" si="7"/>
        <v>3.0399999959627166E-3</v>
      </c>
      <c r="U10" s="38">
        <f t="shared" si="8"/>
        <v>72991.810460000008</v>
      </c>
      <c r="V10" s="38">
        <f t="shared" si="9"/>
        <v>9.5400000027439091E-3</v>
      </c>
    </row>
    <row r="11" spans="1:22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6906</v>
      </c>
      <c r="F11" s="31">
        <v>3616.43</v>
      </c>
      <c r="G11" s="11">
        <f t="shared" si="2"/>
        <v>0.5236649290472053</v>
      </c>
      <c r="H11" s="12"/>
      <c r="I11" s="25">
        <f t="shared" si="3"/>
        <v>1187</v>
      </c>
      <c r="J11" s="10">
        <f t="shared" si="3"/>
        <v>665.31</v>
      </c>
      <c r="K11" s="23">
        <f>IFERROR(J11/I11,0)</f>
        <v>0.5604970513900589</v>
      </c>
      <c r="M11" s="29">
        <v>5719</v>
      </c>
      <c r="N11" s="31">
        <v>2951.12</v>
      </c>
      <c r="O11" s="23">
        <f>IFERROR(N11/M11,0)</f>
        <v>0.51602028326630522</v>
      </c>
      <c r="Q11" s="21">
        <f t="shared" si="4"/>
        <v>665.31349999999998</v>
      </c>
      <c r="R11" s="21">
        <f t="shared" si="5"/>
        <v>-3.5000000000309228E-3</v>
      </c>
      <c r="S11" s="21">
        <f t="shared" si="6"/>
        <v>2951.1183800000003</v>
      </c>
      <c r="T11" s="21">
        <f t="shared" si="7"/>
        <v>1.619999999547872E-3</v>
      </c>
      <c r="U11" s="38">
        <f t="shared" si="8"/>
        <v>3616.4318800000001</v>
      </c>
      <c r="V11" s="38">
        <f t="shared" si="9"/>
        <v>-1.8800000004830508E-3</v>
      </c>
    </row>
    <row r="12" spans="1:22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29">
        <v>455848</v>
      </c>
      <c r="F12" s="31">
        <v>235226.69</v>
      </c>
      <c r="G12" s="11">
        <f t="shared" si="2"/>
        <v>0.51602001105631701</v>
      </c>
      <c r="H12" s="11"/>
      <c r="I12" s="25">
        <f t="shared" si="3"/>
        <v>0</v>
      </c>
      <c r="J12" s="10">
        <f t="shared" si="3"/>
        <v>0</v>
      </c>
      <c r="K12" s="23">
        <f t="shared" ref="K12:K18" si="10">IFERROR(J12/I12,0)</f>
        <v>0</v>
      </c>
      <c r="M12" s="29">
        <v>455848</v>
      </c>
      <c r="N12" s="31">
        <v>235226.69</v>
      </c>
      <c r="O12" s="23">
        <f t="shared" ref="O12:O18" si="11">IFERROR(N12/M12,0)</f>
        <v>0.51602001105631701</v>
      </c>
      <c r="Q12" s="21">
        <f t="shared" si="4"/>
        <v>0</v>
      </c>
      <c r="R12" s="21">
        <f t="shared" si="5"/>
        <v>0</v>
      </c>
      <c r="S12" s="21">
        <f t="shared" si="6"/>
        <v>235226.68496000001</v>
      </c>
      <c r="T12" s="21">
        <f t="shared" si="7"/>
        <v>5.0399999890942127E-3</v>
      </c>
      <c r="U12" s="38">
        <f t="shared" si="8"/>
        <v>235226.68496000001</v>
      </c>
      <c r="V12" s="38">
        <f t="shared" si="9"/>
        <v>5.0399999890942127E-3</v>
      </c>
    </row>
    <row r="13" spans="1:22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12982556</v>
      </c>
      <c r="F13" s="31">
        <v>6981728.2800000003</v>
      </c>
      <c r="G13" s="11">
        <f t="shared" si="2"/>
        <v>0.53777763639147791</v>
      </c>
      <c r="H13" s="11"/>
      <c r="I13" s="25">
        <f t="shared" si="3"/>
        <v>6420556</v>
      </c>
      <c r="J13" s="10">
        <f t="shared" si="3"/>
        <v>3595765.06</v>
      </c>
      <c r="K13" s="23">
        <f t="shared" si="10"/>
        <v>0.56003951371189664</v>
      </c>
      <c r="M13" s="29">
        <f>6561703+297</f>
        <v>6562000</v>
      </c>
      <c r="N13" s="31">
        <f>3385804.52+158.7</f>
        <v>3385963.22</v>
      </c>
      <c r="O13" s="23">
        <f t="shared" si="11"/>
        <v>0.51599561414202988</v>
      </c>
      <c r="Q13" s="21">
        <f t="shared" si="4"/>
        <v>3598721.6379999998</v>
      </c>
      <c r="R13" s="21">
        <f t="shared" si="5"/>
        <v>-2956.5779999997467</v>
      </c>
      <c r="S13" s="21">
        <f t="shared" si="6"/>
        <v>3386123.24</v>
      </c>
      <c r="T13" s="21">
        <f t="shared" si="7"/>
        <v>-160.02000000001863</v>
      </c>
      <c r="U13" s="38">
        <f t="shared" si="8"/>
        <v>6984844.8780000005</v>
      </c>
      <c r="V13" s="38">
        <f t="shared" si="9"/>
        <v>-3116.5979999997653</v>
      </c>
    </row>
    <row r="14" spans="1:22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29">
        <v>1720</v>
      </c>
      <c r="F14" s="31">
        <v>899.12</v>
      </c>
      <c r="G14" s="11">
        <f t="shared" si="2"/>
        <v>0.52274418604651163</v>
      </c>
      <c r="H14" s="11"/>
      <c r="I14" s="25">
        <f t="shared" si="3"/>
        <v>260</v>
      </c>
      <c r="J14" s="10">
        <f t="shared" si="3"/>
        <v>145.73000000000002</v>
      </c>
      <c r="K14" s="23">
        <f t="shared" si="10"/>
        <v>0.56050000000000011</v>
      </c>
      <c r="M14" s="29">
        <v>1460</v>
      </c>
      <c r="N14" s="31">
        <v>753.39</v>
      </c>
      <c r="O14" s="23">
        <f t="shared" si="11"/>
        <v>0.51602054794520547</v>
      </c>
      <c r="Q14" s="21">
        <f t="shared" si="4"/>
        <v>145.72999999999999</v>
      </c>
      <c r="R14" s="21">
        <f t="shared" si="5"/>
        <v>0</v>
      </c>
      <c r="S14" s="21">
        <f t="shared" si="6"/>
        <v>753.38920000000007</v>
      </c>
      <c r="T14" s="21">
        <f t="shared" si="7"/>
        <v>7.9999999991287041E-4</v>
      </c>
      <c r="U14" s="38">
        <f t="shared" si="8"/>
        <v>899.11920000000009</v>
      </c>
      <c r="V14" s="38">
        <f t="shared" si="9"/>
        <v>7.9999999991287041E-4</v>
      </c>
    </row>
    <row r="15" spans="1:22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698</v>
      </c>
      <c r="F15" s="31">
        <v>375.12</v>
      </c>
      <c r="G15" s="11">
        <f t="shared" si="2"/>
        <v>0.53742120343839539</v>
      </c>
      <c r="H15" s="11"/>
      <c r="I15" s="25">
        <f t="shared" si="3"/>
        <v>336</v>
      </c>
      <c r="J15" s="10">
        <f t="shared" si="3"/>
        <v>188.33</v>
      </c>
      <c r="K15" s="23">
        <f t="shared" si="10"/>
        <v>0.56050595238095247</v>
      </c>
      <c r="M15" s="29">
        <v>362</v>
      </c>
      <c r="N15" s="31">
        <v>186.79</v>
      </c>
      <c r="O15" s="23">
        <f t="shared" si="11"/>
        <v>0.51599447513812158</v>
      </c>
      <c r="Q15" s="21">
        <f t="shared" si="4"/>
        <v>188.328</v>
      </c>
      <c r="R15" s="21">
        <f t="shared" si="5"/>
        <v>2.0000000000095497E-3</v>
      </c>
      <c r="S15" s="21">
        <f t="shared" si="6"/>
        <v>186.79924000000003</v>
      </c>
      <c r="T15" s="21">
        <f t="shared" si="7"/>
        <v>-9.2400000000338878E-3</v>
      </c>
      <c r="U15" s="38">
        <f t="shared" si="8"/>
        <v>375.12724000000003</v>
      </c>
      <c r="V15" s="38">
        <f t="shared" si="9"/>
        <v>-7.2400000000243381E-3</v>
      </c>
    </row>
    <row r="16" spans="1:22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29">
        <v>32</v>
      </c>
      <c r="F16" s="31">
        <v>17.010000000000002</v>
      </c>
      <c r="G16" s="11">
        <f t="shared" si="2"/>
        <v>0.53156250000000005</v>
      </c>
      <c r="H16" s="11"/>
      <c r="I16" s="25">
        <f t="shared" si="3"/>
        <v>11</v>
      </c>
      <c r="J16" s="10">
        <f t="shared" si="3"/>
        <v>6.1700000000000017</v>
      </c>
      <c r="K16" s="23">
        <f t="shared" si="10"/>
        <v>0.56090909090909102</v>
      </c>
      <c r="M16" s="29">
        <v>21</v>
      </c>
      <c r="N16" s="31">
        <v>10.84</v>
      </c>
      <c r="O16" s="23">
        <f t="shared" si="11"/>
        <v>0.5161904761904762</v>
      </c>
      <c r="Q16" s="21">
        <f t="shared" si="4"/>
        <v>6.1654999999999998</v>
      </c>
      <c r="R16" s="21">
        <f t="shared" si="5"/>
        <v>4.5000000000019469E-3</v>
      </c>
      <c r="S16" s="21">
        <f t="shared" si="6"/>
        <v>10.83642</v>
      </c>
      <c r="T16" s="21">
        <f t="shared" si="7"/>
        <v>3.5799999999994725E-3</v>
      </c>
      <c r="U16" s="38">
        <f t="shared" si="8"/>
        <v>17.001919999999998</v>
      </c>
      <c r="V16" s="38">
        <f t="shared" si="9"/>
        <v>8.0800000000014194E-3</v>
      </c>
    </row>
    <row r="17" spans="1:22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31">
        <v>188.83</v>
      </c>
      <c r="G17" s="11">
        <f t="shared" si="2"/>
        <v>0.52745810055865927</v>
      </c>
      <c r="H17" s="11"/>
      <c r="I17" s="25">
        <f t="shared" si="3"/>
        <v>92</v>
      </c>
      <c r="J17" s="10">
        <f t="shared" si="3"/>
        <v>51.570000000000022</v>
      </c>
      <c r="K17" s="23">
        <f t="shared" si="10"/>
        <v>0.56054347826086981</v>
      </c>
      <c r="M17" s="29">
        <v>266</v>
      </c>
      <c r="N17" s="31">
        <v>137.26</v>
      </c>
      <c r="O17" s="23">
        <f t="shared" si="11"/>
        <v>0.51601503759398493</v>
      </c>
      <c r="Q17" s="21">
        <f t="shared" si="4"/>
        <v>51.566000000000003</v>
      </c>
      <c r="R17" s="21">
        <f t="shared" si="5"/>
        <v>4.0000000000190994E-3</v>
      </c>
      <c r="S17" s="21">
        <f t="shared" si="6"/>
        <v>137.26132000000001</v>
      </c>
      <c r="T17" s="21">
        <f t="shared" si="7"/>
        <v>-1.3200000000210821E-3</v>
      </c>
      <c r="U17" s="38">
        <f t="shared" si="8"/>
        <v>188.82732000000001</v>
      </c>
      <c r="V17" s="38">
        <f t="shared" si="9"/>
        <v>2.6799999999980173E-3</v>
      </c>
    </row>
    <row r="18" spans="1:22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29">
        <v>613</v>
      </c>
      <c r="F18" s="31">
        <v>334.05</v>
      </c>
      <c r="G18" s="11">
        <f t="shared" si="2"/>
        <v>0.54494290375203913</v>
      </c>
      <c r="H18" s="11"/>
      <c r="I18" s="25">
        <f t="shared" si="3"/>
        <v>383</v>
      </c>
      <c r="J18" s="10">
        <f t="shared" si="3"/>
        <v>214.48000000000002</v>
      </c>
      <c r="K18" s="23">
        <f t="shared" si="10"/>
        <v>0.56000000000000005</v>
      </c>
      <c r="M18" s="29">
        <v>230</v>
      </c>
      <c r="N18" s="31">
        <v>119.57</v>
      </c>
      <c r="O18" s="23">
        <f t="shared" si="11"/>
        <v>0.51986956521739125</v>
      </c>
      <c r="Q18" s="21">
        <f t="shared" si="4"/>
        <v>214.67150000000001</v>
      </c>
      <c r="R18" s="21">
        <f t="shared" si="5"/>
        <v>-0.19149999999999068</v>
      </c>
      <c r="S18" s="21">
        <f t="shared" si="6"/>
        <v>118.6846</v>
      </c>
      <c r="T18" s="21">
        <f t="shared" si="7"/>
        <v>0.88539999999998997</v>
      </c>
      <c r="U18" s="38">
        <f t="shared" si="8"/>
        <v>333.35610000000003</v>
      </c>
      <c r="V18" s="38">
        <f t="shared" si="9"/>
        <v>0.6938999999999993</v>
      </c>
    </row>
    <row r="19" spans="1:22" ht="15.75" thickBot="1" x14ac:dyDescent="0.3">
      <c r="A19" s="46" t="s">
        <v>2</v>
      </c>
      <c r="B19" s="47"/>
      <c r="C19" s="47"/>
      <c r="D19" s="48"/>
      <c r="E19" s="7">
        <f>SUM(E6:E18)</f>
        <v>20560282</v>
      </c>
      <c r="F19" s="9">
        <f>SUM(F6:F18)</f>
        <v>11043876.719999999</v>
      </c>
      <c r="I19" s="26">
        <f>SUM(I6:I18)</f>
        <v>10157055</v>
      </c>
      <c r="J19" s="9">
        <f>SUM(J6:J18)</f>
        <v>5681104.5600000015</v>
      </c>
      <c r="M19" s="7">
        <f>SUM(M6:M18)</f>
        <v>10403227</v>
      </c>
      <c r="N19" s="9">
        <f>SUM(N6:N18)</f>
        <v>5362772.16</v>
      </c>
      <c r="Q19" s="15"/>
      <c r="R19" s="21">
        <f>SUM(R6:R18)</f>
        <v>-11924.767499999618</v>
      </c>
    </row>
    <row r="20" spans="1:22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5"/>
    </row>
    <row r="21" spans="1:22" x14ac:dyDescent="0.25">
      <c r="G21" s="40"/>
      <c r="H21" s="40"/>
      <c r="I21" s="40"/>
      <c r="J21" s="40"/>
      <c r="K21" s="40"/>
      <c r="L21" s="40"/>
      <c r="M21" s="40"/>
      <c r="N21" s="41">
        <f>+N19+J19</f>
        <v>11043876.720000003</v>
      </c>
      <c r="O21" s="40"/>
      <c r="P21" s="40"/>
      <c r="Q21" s="40"/>
      <c r="R21" s="40"/>
      <c r="S21" s="15"/>
    </row>
    <row r="22" spans="1:22" x14ac:dyDescent="0.25">
      <c r="G22" s="40"/>
      <c r="H22" s="40"/>
      <c r="I22" s="40"/>
      <c r="J22" s="40"/>
      <c r="K22" s="40"/>
      <c r="L22" s="40"/>
      <c r="M22" s="40"/>
      <c r="N22" s="41">
        <f>+F19-N21</f>
        <v>0</v>
      </c>
      <c r="O22" s="40"/>
      <c r="P22" s="40"/>
      <c r="Q22" s="40"/>
      <c r="R22" s="40"/>
      <c r="S22" s="15"/>
    </row>
    <row r="23" spans="1:22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</row>
    <row r="24" spans="1:22" x14ac:dyDescent="0.25">
      <c r="G24" s="40" t="s">
        <v>54</v>
      </c>
      <c r="H24" s="40"/>
      <c r="I24" s="40"/>
      <c r="J24" s="41">
        <f>+J13+J14+J15+J16</f>
        <v>3596105.29</v>
      </c>
      <c r="K24" s="40"/>
      <c r="L24" s="40"/>
      <c r="M24" s="40"/>
      <c r="N24" s="41">
        <f>+N13+N14+N15+N16</f>
        <v>3386914.24</v>
      </c>
      <c r="O24" s="41">
        <f>+N24+J24</f>
        <v>6983019.5300000003</v>
      </c>
      <c r="P24" s="40"/>
      <c r="Q24" s="40" t="s">
        <v>54</v>
      </c>
      <c r="R24" s="41">
        <f>+R13+R14+R15+R16</f>
        <v>-2956.5714999997467</v>
      </c>
      <c r="S24" s="21">
        <f>+O24+R24</f>
        <v>6980062.9585000006</v>
      </c>
      <c r="T24" s="41">
        <f>+T13+T14+T15+T16</f>
        <v>-160.02486000001875</v>
      </c>
      <c r="U24" s="41">
        <f t="shared" ref="U24:V24" si="12">+U13+U14+U15+U16</f>
        <v>6986136.1263600001</v>
      </c>
      <c r="V24" s="41">
        <f t="shared" si="12"/>
        <v>-3116.5963599997654</v>
      </c>
    </row>
    <row r="25" spans="1:22" x14ac:dyDescent="0.25">
      <c r="G25" s="40" t="s">
        <v>55</v>
      </c>
      <c r="H25" s="40"/>
      <c r="I25" s="40"/>
      <c r="J25" s="41">
        <f>+J6+J17+J18+J8</f>
        <v>1705239.0000000002</v>
      </c>
      <c r="K25" s="40"/>
      <c r="L25" s="40"/>
      <c r="M25" s="40"/>
      <c r="N25" s="41">
        <f>+N6+N17+N18+N8</f>
        <v>1467969.31</v>
      </c>
      <c r="O25" s="41">
        <f t="shared" ref="O25:O28" si="13">+N25+J25</f>
        <v>3173208.3100000005</v>
      </c>
      <c r="P25" s="40"/>
      <c r="Q25" s="40" t="s">
        <v>55</v>
      </c>
      <c r="R25" s="41">
        <f>+R6+R17+R18+R8</f>
        <v>-8730.7649999998976</v>
      </c>
      <c r="S25" s="21">
        <f t="shared" ref="S25:S28" si="14">+O25+R25</f>
        <v>3164477.5450000009</v>
      </c>
      <c r="T25" s="41">
        <f>+T6+T17+T18+T8</f>
        <v>-5440.656700000156</v>
      </c>
      <c r="U25" s="41">
        <f t="shared" ref="U25:V25" si="15">+U6+U17+U18+U8</f>
        <v>3187379.7317000004</v>
      </c>
      <c r="V25" s="41">
        <f t="shared" si="15"/>
        <v>-14171.421700000054</v>
      </c>
    </row>
    <row r="26" spans="1:22" x14ac:dyDescent="0.25">
      <c r="G26" s="40" t="s">
        <v>56</v>
      </c>
      <c r="H26" s="40"/>
      <c r="I26" s="40"/>
      <c r="J26" s="41">
        <f>+J9+J11</f>
        <v>154965.61000000002</v>
      </c>
      <c r="K26" s="40"/>
      <c r="L26" s="40"/>
      <c r="M26" s="40"/>
      <c r="N26" s="41">
        <f>+N9+N11</f>
        <v>184863.13999999998</v>
      </c>
      <c r="O26" s="41">
        <f t="shared" si="13"/>
        <v>339828.75</v>
      </c>
      <c r="P26" s="40"/>
      <c r="Q26" s="40" t="s">
        <v>56</v>
      </c>
      <c r="R26" s="41">
        <f>+R9+R11</f>
        <v>-267.66749999998979</v>
      </c>
      <c r="S26" s="21">
        <f t="shared" si="14"/>
        <v>339561.08250000002</v>
      </c>
      <c r="T26" s="41">
        <f>+T9+T11</f>
        <v>7.0399999717665196E-3</v>
      </c>
      <c r="U26" s="41">
        <f t="shared" ref="U26:V26" si="16">+U9+U11</f>
        <v>340096.41045999998</v>
      </c>
      <c r="V26" s="41">
        <f t="shared" si="16"/>
        <v>-267.66046000001802</v>
      </c>
    </row>
    <row r="27" spans="1:22" x14ac:dyDescent="0.25">
      <c r="G27" s="40" t="s">
        <v>57</v>
      </c>
      <c r="H27" s="40"/>
      <c r="I27" s="40"/>
      <c r="J27" s="41">
        <f>+J7+J10</f>
        <v>224794.66</v>
      </c>
      <c r="K27" s="40"/>
      <c r="L27" s="40"/>
      <c r="M27" s="40"/>
      <c r="N27" s="41">
        <f>+N7+N10</f>
        <v>87798.78</v>
      </c>
      <c r="O27" s="41">
        <f t="shared" si="13"/>
        <v>312593.44</v>
      </c>
      <c r="P27" s="40"/>
      <c r="Q27" s="40" t="s">
        <v>57</v>
      </c>
      <c r="R27" s="41">
        <f>+R7+R10</f>
        <v>30.236500000017259</v>
      </c>
      <c r="S27" s="21">
        <f t="shared" si="14"/>
        <v>312623.6765</v>
      </c>
      <c r="T27" s="41">
        <f>+T7+T10</f>
        <v>99.632939999988594</v>
      </c>
      <c r="U27" s="41">
        <f t="shared" ref="U27:V27" si="17">+U7+U10</f>
        <v>312463.57056000002</v>
      </c>
      <c r="V27" s="41">
        <f t="shared" si="17"/>
        <v>129.86944000000585</v>
      </c>
    </row>
    <row r="28" spans="1:22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235226.69</v>
      </c>
      <c r="O28" s="41">
        <f t="shared" si="13"/>
        <v>235226.69</v>
      </c>
      <c r="P28" s="40"/>
      <c r="Q28" s="40" t="s">
        <v>58</v>
      </c>
      <c r="R28" s="41">
        <f>+R12</f>
        <v>0</v>
      </c>
      <c r="S28" s="21">
        <f t="shared" si="14"/>
        <v>235226.69</v>
      </c>
      <c r="T28" s="41">
        <f>+T12</f>
        <v>5.0399999890942127E-3</v>
      </c>
      <c r="U28" s="41">
        <f t="shared" ref="U28:V28" si="18">+U12</f>
        <v>235226.68496000001</v>
      </c>
      <c r="V28" s="41">
        <f t="shared" si="18"/>
        <v>5.0399999890942127E-3</v>
      </c>
    </row>
    <row r="29" spans="1:22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11043876.719999999</v>
      </c>
      <c r="P29" s="41">
        <f>+O29-F19</f>
        <v>0</v>
      </c>
      <c r="Q29" s="40"/>
      <c r="R29" s="40"/>
      <c r="S29" s="15"/>
    </row>
    <row r="32" spans="1:22" x14ac:dyDescent="0.25">
      <c r="G32" s="40" t="s">
        <v>54</v>
      </c>
      <c r="J32" s="42">
        <v>3599061.8615000001</v>
      </c>
      <c r="K32" s="21">
        <f>+J24-J32</f>
        <v>-2956.5715000000782</v>
      </c>
      <c r="N32" s="43">
        <v>3387074.26486</v>
      </c>
      <c r="O32" s="21">
        <f>+N24-N32</f>
        <v>-160.02485999977216</v>
      </c>
    </row>
    <row r="33" spans="7:15" x14ac:dyDescent="0.25">
      <c r="G33" s="40" t="s">
        <v>55</v>
      </c>
      <c r="J33" s="42">
        <v>1713969.7649999999</v>
      </c>
      <c r="K33" s="21">
        <f t="shared" ref="K33:K35" si="19">+J25-J33</f>
        <v>-8730.7649999996647</v>
      </c>
      <c r="N33" s="43">
        <v>1473409.9667</v>
      </c>
      <c r="O33" s="21">
        <f t="shared" ref="O33:O35" si="20">+N25-N33</f>
        <v>-5440.6566999999341</v>
      </c>
    </row>
    <row r="34" spans="7:15" x14ac:dyDescent="0.25">
      <c r="G34" s="40" t="s">
        <v>56</v>
      </c>
      <c r="J34" s="42">
        <v>155233.2775</v>
      </c>
      <c r="K34" s="21">
        <f t="shared" si="19"/>
        <v>-267.66749999998137</v>
      </c>
      <c r="N34" s="43">
        <v>184863.13296000002</v>
      </c>
      <c r="O34" s="21">
        <f t="shared" si="20"/>
        <v>7.0399999676737934E-3</v>
      </c>
    </row>
    <row r="35" spans="7:15" x14ac:dyDescent="0.25">
      <c r="G35" s="40" t="s">
        <v>57</v>
      </c>
      <c r="J35" s="42">
        <v>224764.4235</v>
      </c>
      <c r="K35" s="21">
        <f t="shared" si="19"/>
        <v>30.236499999999069</v>
      </c>
      <c r="N35" s="43">
        <v>87699.147059999988</v>
      </c>
      <c r="O35" s="21">
        <f t="shared" si="20"/>
        <v>99.632940000010421</v>
      </c>
    </row>
  </sheetData>
  <mergeCells count="5">
    <mergeCell ref="M4:N4"/>
    <mergeCell ref="A1:C1"/>
    <mergeCell ref="A3:C4"/>
    <mergeCell ref="A19:D19"/>
    <mergeCell ref="I4:J4"/>
  </mergeCells>
  <phoneticPr fontId="6" type="noConversion"/>
  <pageMargins left="0.75" right="0.75" top="1" bottom="1" header="0.5" footer="0.5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29"/>
  <sheetViews>
    <sheetView showGridLines="0" zoomScaleNormal="100" workbookViewId="0">
      <selection activeCell="A2" sqref="A2:XFD29"/>
    </sheetView>
  </sheetViews>
  <sheetFormatPr defaultRowHeight="15" x14ac:dyDescent="0.25"/>
  <cols>
    <col min="1" max="1" width="25" bestFit="1" customWidth="1"/>
    <col min="2" max="2" width="12.28515625" customWidth="1"/>
    <col min="3" max="3" width="11.7109375" bestFit="1" customWidth="1"/>
    <col min="4" max="4" width="28.140625" bestFit="1" customWidth="1"/>
    <col min="5" max="5" width="10.85546875" bestFit="1" customWidth="1"/>
    <col min="6" max="6" width="12.5703125" bestFit="1" customWidth="1"/>
    <col min="7" max="7" width="8.85546875" bestFit="1" customWidth="1"/>
    <col min="8" max="8" width="2.5703125" customWidth="1"/>
    <col min="9" max="9" width="7.7109375" bestFit="1" customWidth="1"/>
    <col min="10" max="10" width="13" bestFit="1" customWidth="1"/>
    <col min="11" max="11" width="7.28515625" style="15" bestFit="1" customWidth="1"/>
    <col min="12" max="12" width="2.7109375" customWidth="1"/>
    <col min="13" max="13" width="8.7109375" bestFit="1" customWidth="1"/>
    <col min="14" max="14" width="15.85546875" bestFit="1" customWidth="1"/>
    <col min="15" max="15" width="15.85546875" style="15" bestFit="1" customWidth="1"/>
    <col min="16" max="16" width="8.28515625" bestFit="1" customWidth="1"/>
    <col min="17" max="17" width="15" bestFit="1" customWidth="1"/>
    <col min="18" max="18" width="11.140625" bestFit="1" customWidth="1"/>
    <col min="19" max="19" width="12.140625" bestFit="1" customWidth="1"/>
    <col min="20" max="21" width="11.140625" bestFit="1" customWidth="1"/>
  </cols>
  <sheetData>
    <row r="1" spans="1:21" ht="15.75" x14ac:dyDescent="0.25">
      <c r="A1" s="57" t="s">
        <v>38</v>
      </c>
      <c r="B1" s="57"/>
      <c r="C1" s="57"/>
    </row>
    <row r="2" spans="1:21" ht="15.75" thickBot="1" x14ac:dyDescent="0.3">
      <c r="A2" s="1"/>
    </row>
    <row r="3" spans="1:21" ht="15.75" thickBot="1" x14ac:dyDescent="0.3">
      <c r="A3" s="49"/>
      <c r="B3" s="50"/>
      <c r="C3" s="51"/>
      <c r="D3" s="3" t="s">
        <v>1</v>
      </c>
      <c r="E3" s="6" t="s">
        <v>46</v>
      </c>
      <c r="F3" s="6" t="s">
        <v>46</v>
      </c>
      <c r="I3" s="6" t="s">
        <v>46</v>
      </c>
      <c r="J3" s="6" t="s">
        <v>46</v>
      </c>
      <c r="M3" s="6" t="s">
        <v>46</v>
      </c>
      <c r="N3" s="6" t="s">
        <v>46</v>
      </c>
    </row>
    <row r="4" spans="1:21" ht="15.75" thickBot="1" x14ac:dyDescent="0.3">
      <c r="A4" s="52"/>
      <c r="B4" s="53"/>
      <c r="C4" s="54"/>
      <c r="D4" s="3"/>
      <c r="E4" s="6" t="s">
        <v>3</v>
      </c>
      <c r="F4" s="6" t="s">
        <v>4</v>
      </c>
      <c r="I4" s="71" t="s">
        <v>39</v>
      </c>
      <c r="J4" s="72"/>
      <c r="K4" s="24"/>
      <c r="M4" s="55" t="s">
        <v>53</v>
      </c>
      <c r="N4" s="56"/>
      <c r="O4" s="24"/>
    </row>
    <row r="5" spans="1:21" ht="39" thickBot="1" x14ac:dyDescent="0.3">
      <c r="A5" s="5" t="s">
        <v>5</v>
      </c>
      <c r="B5" s="5" t="s">
        <v>6</v>
      </c>
      <c r="C5" s="5" t="s">
        <v>0</v>
      </c>
      <c r="D5" s="2"/>
      <c r="E5" s="6" t="s">
        <v>7</v>
      </c>
      <c r="F5" s="6" t="s">
        <v>8</v>
      </c>
      <c r="I5" s="6" t="s">
        <v>7</v>
      </c>
      <c r="J5" s="6" t="s">
        <v>36</v>
      </c>
      <c r="M5" s="6" t="s">
        <v>7</v>
      </c>
      <c r="N5" s="6" t="s">
        <v>36</v>
      </c>
    </row>
    <row r="6" spans="1:21" ht="15.75" thickBot="1" x14ac:dyDescent="0.3">
      <c r="A6" s="4" t="s">
        <v>9</v>
      </c>
      <c r="B6" s="4" t="s">
        <v>9</v>
      </c>
      <c r="C6" s="4" t="s">
        <v>10</v>
      </c>
      <c r="D6" s="4" t="s">
        <v>11</v>
      </c>
      <c r="E6" s="29">
        <v>10776183</v>
      </c>
      <c r="F6" s="28">
        <v>5563634.9199999999</v>
      </c>
      <c r="G6" s="11">
        <f>+F6/E6</f>
        <v>0.51628994422236518</v>
      </c>
      <c r="H6" s="11"/>
      <c r="I6" s="25">
        <f>E6-M6</f>
        <v>216397</v>
      </c>
      <c r="J6" s="10">
        <f>F6-N6</f>
        <v>113953.80999999959</v>
      </c>
      <c r="K6" s="23">
        <f t="shared" ref="K6:K10" si="0">IFERROR(J6/I6,0)</f>
        <v>0.52659607111004125</v>
      </c>
      <c r="M6" s="29">
        <v>10559786</v>
      </c>
      <c r="N6" s="31">
        <v>5449681.1100000003</v>
      </c>
      <c r="O6" s="23">
        <f t="shared" ref="O6:O10" si="1">IFERROR(N6/M6,0)</f>
        <v>0.51607874534578635</v>
      </c>
      <c r="P6" s="39">
        <f>+K6-O6</f>
        <v>1.0517325764254903E-2</v>
      </c>
      <c r="Q6" s="45">
        <f t="shared" ref="Q6:Q17" si="2">+M6*$M$4</f>
        <v>5449060.7717200005</v>
      </c>
      <c r="R6" s="21">
        <f>+N6-Q6</f>
        <v>620.33827999979258</v>
      </c>
      <c r="S6" s="45">
        <f>+I6*$M$4</f>
        <v>111665.17994</v>
      </c>
      <c r="T6" s="21">
        <f>-S6+J6</f>
        <v>2288.6300599995884</v>
      </c>
      <c r="U6" s="21">
        <f>+R6+T6</f>
        <v>2908.968339999381</v>
      </c>
    </row>
    <row r="7" spans="1:21" ht="15.75" thickBot="1" x14ac:dyDescent="0.3">
      <c r="A7" s="4" t="s">
        <v>9</v>
      </c>
      <c r="B7" s="4" t="s">
        <v>9</v>
      </c>
      <c r="C7" s="4" t="s">
        <v>12</v>
      </c>
      <c r="D7" s="4" t="s">
        <v>13</v>
      </c>
      <c r="E7" s="29">
        <v>226406</v>
      </c>
      <c r="F7" s="28">
        <v>117290.11</v>
      </c>
      <c r="G7" s="11">
        <f t="shared" ref="G7:G18" si="3">+F7/E7</f>
        <v>0.51805212759379171</v>
      </c>
      <c r="H7" s="11"/>
      <c r="I7" s="25">
        <f t="shared" ref="I7:J18" si="4">E7-M7</f>
        <v>48221</v>
      </c>
      <c r="J7" s="10">
        <f t="shared" si="4"/>
        <v>25343.100000000006</v>
      </c>
      <c r="K7" s="23">
        <f t="shared" si="0"/>
        <v>0.52556147736463377</v>
      </c>
      <c r="M7" s="29">
        <v>178185</v>
      </c>
      <c r="N7" s="31">
        <v>91947.01</v>
      </c>
      <c r="O7" s="23">
        <f t="shared" si="1"/>
        <v>0.51601992311361788</v>
      </c>
      <c r="P7" s="39">
        <f t="shared" ref="P7:P13" si="5">+K7-O7</f>
        <v>9.5415542510158824E-3</v>
      </c>
      <c r="Q7" s="45">
        <f t="shared" si="2"/>
        <v>91947.023700000005</v>
      </c>
      <c r="R7" s="21">
        <f t="shared" ref="R7:R18" si="6">+N7-Q7</f>
        <v>-1.3700000010430813E-2</v>
      </c>
      <c r="S7" s="45">
        <f t="shared" ref="S7:S18" si="7">+I7*$M$4</f>
        <v>24883.00042</v>
      </c>
      <c r="T7" s="21">
        <f t="shared" ref="T7:T18" si="8">-S7+J7</f>
        <v>460.09958000000552</v>
      </c>
      <c r="U7" s="21">
        <f t="shared" ref="U7:U18" si="9">+R7+T7</f>
        <v>460.08587999999509</v>
      </c>
    </row>
    <row r="8" spans="1:21" ht="15.75" thickBot="1" x14ac:dyDescent="0.3">
      <c r="A8" s="4" t="s">
        <v>9</v>
      </c>
      <c r="B8" s="4" t="s">
        <v>9</v>
      </c>
      <c r="C8" s="4" t="s">
        <v>14</v>
      </c>
      <c r="D8" s="4" t="s">
        <v>15</v>
      </c>
      <c r="E8" s="29">
        <v>0</v>
      </c>
      <c r="F8" s="28">
        <v>0</v>
      </c>
      <c r="G8" s="11">
        <f>+IFERROR(F8/E8,0)</f>
        <v>0</v>
      </c>
      <c r="H8" s="12"/>
      <c r="I8" s="25">
        <f t="shared" si="4"/>
        <v>0</v>
      </c>
      <c r="J8" s="10">
        <f t="shared" si="4"/>
        <v>0</v>
      </c>
      <c r="K8" s="23">
        <f t="shared" si="0"/>
        <v>0</v>
      </c>
      <c r="M8" s="29">
        <v>0</v>
      </c>
      <c r="N8" s="31">
        <v>0</v>
      </c>
      <c r="O8" s="23">
        <f t="shared" si="1"/>
        <v>0</v>
      </c>
      <c r="P8" s="39"/>
      <c r="Q8" s="45">
        <f t="shared" si="2"/>
        <v>0</v>
      </c>
      <c r="R8" s="21">
        <f t="shared" si="6"/>
        <v>0</v>
      </c>
      <c r="S8" s="45">
        <f t="shared" si="7"/>
        <v>0</v>
      </c>
      <c r="T8" s="21">
        <f t="shared" si="8"/>
        <v>0</v>
      </c>
      <c r="U8" s="21">
        <f t="shared" si="9"/>
        <v>0</v>
      </c>
    </row>
    <row r="9" spans="1:21" ht="15.75" thickBot="1" x14ac:dyDescent="0.3">
      <c r="A9" s="4" t="s">
        <v>9</v>
      </c>
      <c r="B9" s="4" t="s">
        <v>9</v>
      </c>
      <c r="C9" s="4" t="s">
        <v>16</v>
      </c>
      <c r="D9" s="4" t="s">
        <v>17</v>
      </c>
      <c r="E9" s="29">
        <v>799442</v>
      </c>
      <c r="F9" s="28">
        <v>412536.96</v>
      </c>
      <c r="G9" s="11">
        <f t="shared" si="3"/>
        <v>0.51603113171437076</v>
      </c>
      <c r="H9" s="11"/>
      <c r="I9" s="25">
        <f t="shared" si="4"/>
        <v>1479</v>
      </c>
      <c r="J9" s="10">
        <f t="shared" si="4"/>
        <v>772.05000000004657</v>
      </c>
      <c r="K9" s="23">
        <f t="shared" si="0"/>
        <v>0.5220081135902952</v>
      </c>
      <c r="M9" s="29">
        <v>797963</v>
      </c>
      <c r="N9" s="31">
        <v>411764.91</v>
      </c>
      <c r="O9" s="23">
        <f t="shared" si="1"/>
        <v>0.51602005356138059</v>
      </c>
      <c r="P9" s="39">
        <f t="shared" si="5"/>
        <v>5.9880600289146102E-3</v>
      </c>
      <c r="Q9" s="45">
        <f t="shared" si="2"/>
        <v>411764.86726000003</v>
      </c>
      <c r="R9" s="21">
        <f t="shared" si="6"/>
        <v>4.2739999946206808E-2</v>
      </c>
      <c r="S9" s="45">
        <f t="shared" si="7"/>
        <v>763.19358</v>
      </c>
      <c r="T9" s="21">
        <f t="shared" si="8"/>
        <v>8.8564200000465689</v>
      </c>
      <c r="U9" s="21">
        <f t="shared" si="9"/>
        <v>8.8991599999927757</v>
      </c>
    </row>
    <row r="10" spans="1:21" ht="15.75" thickBot="1" x14ac:dyDescent="0.3">
      <c r="A10" s="4" t="s">
        <v>9</v>
      </c>
      <c r="B10" s="4" t="s">
        <v>9</v>
      </c>
      <c r="C10" s="4" t="s">
        <v>18</v>
      </c>
      <c r="D10" s="4" t="s">
        <v>19</v>
      </c>
      <c r="E10" s="29">
        <v>145407</v>
      </c>
      <c r="F10" s="28">
        <v>75042.710000000006</v>
      </c>
      <c r="G10" s="11">
        <f t="shared" si="3"/>
        <v>0.51608732729510964</v>
      </c>
      <c r="H10" s="11"/>
      <c r="I10" s="25">
        <f t="shared" si="4"/>
        <v>2565</v>
      </c>
      <c r="J10" s="10">
        <f t="shared" si="4"/>
        <v>1333.3800000000047</v>
      </c>
      <c r="K10" s="23">
        <f t="shared" si="0"/>
        <v>0.51983625730994332</v>
      </c>
      <c r="M10" s="29">
        <v>142842</v>
      </c>
      <c r="N10" s="31">
        <v>73709.33</v>
      </c>
      <c r="O10" s="23">
        <f t="shared" si="1"/>
        <v>0.5160200081208608</v>
      </c>
      <c r="P10" s="39">
        <f t="shared" si="5"/>
        <v>3.8162491890825212E-3</v>
      </c>
      <c r="Q10" s="45">
        <f t="shared" si="2"/>
        <v>73709.328840000002</v>
      </c>
      <c r="R10" s="21">
        <f t="shared" si="6"/>
        <v>1.1599999997997656E-3</v>
      </c>
      <c r="S10" s="45">
        <f t="shared" si="7"/>
        <v>1323.5913</v>
      </c>
      <c r="T10" s="21">
        <f t="shared" si="8"/>
        <v>9.78870000000461</v>
      </c>
      <c r="U10" s="21">
        <f t="shared" si="9"/>
        <v>9.7898600000044098</v>
      </c>
    </row>
    <row r="11" spans="1:21" ht="15.75" thickBot="1" x14ac:dyDescent="0.3">
      <c r="A11" s="4" t="s">
        <v>9</v>
      </c>
      <c r="B11" s="4" t="s">
        <v>9</v>
      </c>
      <c r="C11" s="4" t="s">
        <v>20</v>
      </c>
      <c r="D11" s="4" t="s">
        <v>21</v>
      </c>
      <c r="E11" s="29">
        <v>0</v>
      </c>
      <c r="F11" s="28">
        <v>0</v>
      </c>
      <c r="G11" s="11">
        <f>+IFERROR(F11/E11,0)</f>
        <v>0</v>
      </c>
      <c r="H11" s="12"/>
      <c r="I11" s="25">
        <f t="shared" si="4"/>
        <v>0</v>
      </c>
      <c r="J11" s="10">
        <f t="shared" si="4"/>
        <v>0</v>
      </c>
      <c r="K11" s="23">
        <f>IFERROR(J11/I11,0)</f>
        <v>0</v>
      </c>
      <c r="M11" s="29">
        <v>0</v>
      </c>
      <c r="N11" s="31">
        <v>0</v>
      </c>
      <c r="O11" s="23">
        <f>IFERROR(N11/M11,0)</f>
        <v>0</v>
      </c>
      <c r="P11" s="39"/>
      <c r="Q11" s="45">
        <f t="shared" si="2"/>
        <v>0</v>
      </c>
      <c r="R11" s="21">
        <f t="shared" si="6"/>
        <v>0</v>
      </c>
      <c r="S11" s="45">
        <f t="shared" si="7"/>
        <v>0</v>
      </c>
      <c r="T11" s="21">
        <f t="shared" si="8"/>
        <v>0</v>
      </c>
      <c r="U11" s="21">
        <f t="shared" si="9"/>
        <v>0</v>
      </c>
    </row>
    <row r="12" spans="1:21" ht="15.75" thickBot="1" x14ac:dyDescent="0.3">
      <c r="A12" s="4" t="s">
        <v>9</v>
      </c>
      <c r="B12" s="4" t="s">
        <v>9</v>
      </c>
      <c r="C12" s="4" t="s">
        <v>22</v>
      </c>
      <c r="D12" s="4" t="s">
        <v>23</v>
      </c>
      <c r="E12" s="36">
        <v>494453</v>
      </c>
      <c r="F12" s="37">
        <v>255147.64</v>
      </c>
      <c r="G12" s="11">
        <f t="shared" si="3"/>
        <v>0.51602000594596453</v>
      </c>
      <c r="H12" s="11"/>
      <c r="I12" s="25">
        <f t="shared" si="4"/>
        <v>0</v>
      </c>
      <c r="J12" s="10">
        <f t="shared" si="4"/>
        <v>0</v>
      </c>
      <c r="K12" s="23">
        <f t="shared" ref="K12:K18" si="10">IFERROR(J12/I12,0)</f>
        <v>0</v>
      </c>
      <c r="M12" s="29">
        <v>494453</v>
      </c>
      <c r="N12" s="31">
        <v>255147.64</v>
      </c>
      <c r="O12" s="23">
        <f t="shared" ref="O12:O18" si="11">IFERROR(N12/M12,0)</f>
        <v>0.51602000594596453</v>
      </c>
      <c r="P12" s="39"/>
      <c r="Q12" s="45">
        <f t="shared" si="2"/>
        <v>255147.63706000001</v>
      </c>
      <c r="R12" s="21">
        <f t="shared" si="6"/>
        <v>2.9400000057648867E-3</v>
      </c>
      <c r="S12" s="45">
        <f t="shared" si="7"/>
        <v>0</v>
      </c>
      <c r="T12" s="21">
        <f t="shared" si="8"/>
        <v>0</v>
      </c>
      <c r="U12" s="21">
        <f t="shared" si="9"/>
        <v>2.9400000057648867E-3</v>
      </c>
    </row>
    <row r="13" spans="1:21" ht="15.75" thickBot="1" x14ac:dyDescent="0.3">
      <c r="A13" s="4" t="s">
        <v>9</v>
      </c>
      <c r="B13" s="4" t="s">
        <v>9</v>
      </c>
      <c r="C13" s="4" t="s">
        <v>24</v>
      </c>
      <c r="D13" s="4" t="s">
        <v>25</v>
      </c>
      <c r="E13" s="29">
        <v>22999776</v>
      </c>
      <c r="F13" s="28">
        <v>11870575.970000001</v>
      </c>
      <c r="G13" s="11">
        <f t="shared" si="3"/>
        <v>0.51611702522668046</v>
      </c>
      <c r="H13" s="11"/>
      <c r="I13" s="25">
        <f t="shared" si="4"/>
        <v>96365</v>
      </c>
      <c r="J13" s="10">
        <f t="shared" si="4"/>
        <v>50453.339999999851</v>
      </c>
      <c r="K13" s="23">
        <f t="shared" si="10"/>
        <v>0.52356498728791423</v>
      </c>
      <c r="M13" s="29">
        <v>22903411</v>
      </c>
      <c r="N13" s="31">
        <v>11820122.630000001</v>
      </c>
      <c r="O13" s="23">
        <f t="shared" si="11"/>
        <v>0.51608568828459656</v>
      </c>
      <c r="P13" s="39">
        <f t="shared" si="5"/>
        <v>7.4792990033176743E-3</v>
      </c>
      <c r="Q13" s="45">
        <f t="shared" si="2"/>
        <v>11818618.14422</v>
      </c>
      <c r="R13" s="21">
        <f t="shared" si="6"/>
        <v>1504.4857800006866</v>
      </c>
      <c r="S13" s="45">
        <f t="shared" si="7"/>
        <v>49726.267300000007</v>
      </c>
      <c r="T13" s="21">
        <f t="shared" si="8"/>
        <v>727.07269999984419</v>
      </c>
      <c r="U13" s="21">
        <f t="shared" si="9"/>
        <v>2231.5584800005308</v>
      </c>
    </row>
    <row r="14" spans="1:21" ht="15.75" thickBot="1" x14ac:dyDescent="0.3">
      <c r="A14" s="4" t="s">
        <v>9</v>
      </c>
      <c r="B14" s="4" t="s">
        <v>9</v>
      </c>
      <c r="C14" s="4" t="s">
        <v>26</v>
      </c>
      <c r="D14" s="4" t="s">
        <v>27</v>
      </c>
      <c r="E14" s="36">
        <v>2202</v>
      </c>
      <c r="F14" s="37">
        <v>1136.28</v>
      </c>
      <c r="G14" s="11">
        <f t="shared" si="3"/>
        <v>0.51602179836512263</v>
      </c>
      <c r="H14" s="11"/>
      <c r="I14" s="25">
        <f t="shared" si="4"/>
        <v>0</v>
      </c>
      <c r="J14" s="10">
        <f t="shared" si="4"/>
        <v>0</v>
      </c>
      <c r="K14" s="23">
        <f t="shared" si="10"/>
        <v>0</v>
      </c>
      <c r="M14" s="29">
        <v>2202</v>
      </c>
      <c r="N14" s="31">
        <v>1136.28</v>
      </c>
      <c r="O14" s="23">
        <f t="shared" si="11"/>
        <v>0.51602179836512263</v>
      </c>
      <c r="P14" s="39"/>
      <c r="Q14" s="45">
        <f t="shared" si="2"/>
        <v>1136.27604</v>
      </c>
      <c r="R14" s="21">
        <f t="shared" si="6"/>
        <v>3.9600000000064028E-3</v>
      </c>
      <c r="S14" s="45">
        <f t="shared" si="7"/>
        <v>0</v>
      </c>
      <c r="T14" s="21">
        <f t="shared" si="8"/>
        <v>0</v>
      </c>
      <c r="U14" s="21">
        <f t="shared" si="9"/>
        <v>3.9600000000064028E-3</v>
      </c>
    </row>
    <row r="15" spans="1:21" ht="15.75" thickBot="1" x14ac:dyDescent="0.3">
      <c r="A15" s="4" t="s">
        <v>9</v>
      </c>
      <c r="B15" s="4" t="s">
        <v>9</v>
      </c>
      <c r="C15" s="4" t="s">
        <v>28</v>
      </c>
      <c r="D15" s="4" t="s">
        <v>29</v>
      </c>
      <c r="E15" s="29">
        <v>1641</v>
      </c>
      <c r="F15" s="28">
        <v>846.78</v>
      </c>
      <c r="G15" s="11">
        <f t="shared" si="3"/>
        <v>0.51601462522851915</v>
      </c>
      <c r="H15" s="11"/>
      <c r="I15" s="25">
        <f t="shared" si="4"/>
        <v>0</v>
      </c>
      <c r="J15" s="10">
        <f t="shared" si="4"/>
        <v>0</v>
      </c>
      <c r="K15" s="23">
        <f t="shared" si="10"/>
        <v>0</v>
      </c>
      <c r="M15" s="29">
        <v>1641</v>
      </c>
      <c r="N15" s="31">
        <v>846.78</v>
      </c>
      <c r="O15" s="23">
        <f t="shared" si="11"/>
        <v>0.51601462522851915</v>
      </c>
      <c r="P15" s="39"/>
      <c r="Q15" s="45">
        <f t="shared" si="2"/>
        <v>846.7888200000001</v>
      </c>
      <c r="R15" s="21">
        <f t="shared" si="6"/>
        <v>-8.8200000001279477E-3</v>
      </c>
      <c r="S15" s="45">
        <f t="shared" si="7"/>
        <v>0</v>
      </c>
      <c r="T15" s="21">
        <f t="shared" si="8"/>
        <v>0</v>
      </c>
      <c r="U15" s="21">
        <f t="shared" si="9"/>
        <v>-8.8200000001279477E-3</v>
      </c>
    </row>
    <row r="16" spans="1:21" ht="15.75" thickBot="1" x14ac:dyDescent="0.3">
      <c r="A16" s="4" t="s">
        <v>9</v>
      </c>
      <c r="B16" s="4" t="s">
        <v>9</v>
      </c>
      <c r="C16" s="4" t="s">
        <v>30</v>
      </c>
      <c r="D16" s="4" t="s">
        <v>31</v>
      </c>
      <c r="E16" s="36">
        <v>32</v>
      </c>
      <c r="F16" s="37">
        <v>16.510000000000002</v>
      </c>
      <c r="G16" s="11">
        <f t="shared" si="3"/>
        <v>0.51593750000000005</v>
      </c>
      <c r="H16" s="11"/>
      <c r="I16" s="25">
        <f t="shared" si="4"/>
        <v>0</v>
      </c>
      <c r="J16" s="10">
        <f t="shared" si="4"/>
        <v>0</v>
      </c>
      <c r="K16" s="23">
        <f t="shared" si="10"/>
        <v>0</v>
      </c>
      <c r="M16" s="29">
        <v>32</v>
      </c>
      <c r="N16" s="31">
        <v>16.510000000000002</v>
      </c>
      <c r="O16" s="23">
        <f t="shared" si="11"/>
        <v>0.51593750000000005</v>
      </c>
      <c r="P16" s="39"/>
      <c r="Q16" s="45">
        <f t="shared" si="2"/>
        <v>16.512640000000001</v>
      </c>
      <c r="R16" s="21">
        <f t="shared" si="6"/>
        <v>-2.6399999999995316E-3</v>
      </c>
      <c r="S16" s="45">
        <f t="shared" si="7"/>
        <v>0</v>
      </c>
      <c r="T16" s="21">
        <f t="shared" si="8"/>
        <v>0</v>
      </c>
      <c r="U16" s="21">
        <f t="shared" si="9"/>
        <v>-2.6399999999995316E-3</v>
      </c>
    </row>
    <row r="17" spans="1:21" ht="15.75" thickBot="1" x14ac:dyDescent="0.3">
      <c r="A17" s="4" t="s">
        <v>9</v>
      </c>
      <c r="B17" s="4" t="s">
        <v>9</v>
      </c>
      <c r="C17" s="4" t="s">
        <v>32</v>
      </c>
      <c r="D17" s="4" t="s">
        <v>33</v>
      </c>
      <c r="E17" s="29">
        <v>358</v>
      </c>
      <c r="F17" s="28">
        <v>184.74</v>
      </c>
      <c r="G17" s="11">
        <f t="shared" si="3"/>
        <v>0.51603351955307264</v>
      </c>
      <c r="H17" s="11"/>
      <c r="I17" s="25">
        <f t="shared" si="4"/>
        <v>0</v>
      </c>
      <c r="J17" s="10">
        <f t="shared" si="4"/>
        <v>0</v>
      </c>
      <c r="K17" s="23">
        <f t="shared" si="10"/>
        <v>0</v>
      </c>
      <c r="M17" s="29">
        <v>358</v>
      </c>
      <c r="N17" s="31">
        <v>184.74</v>
      </c>
      <c r="O17" s="23">
        <f t="shared" si="11"/>
        <v>0.51603351955307264</v>
      </c>
      <c r="P17" s="39"/>
      <c r="Q17" s="45">
        <f t="shared" si="2"/>
        <v>184.73516000000001</v>
      </c>
      <c r="R17" s="21">
        <f t="shared" si="6"/>
        <v>4.8400000000015098E-3</v>
      </c>
      <c r="S17" s="45">
        <f t="shared" si="7"/>
        <v>0</v>
      </c>
      <c r="T17" s="21">
        <f t="shared" si="8"/>
        <v>0</v>
      </c>
      <c r="U17" s="21">
        <f t="shared" si="9"/>
        <v>4.8400000000015098E-3</v>
      </c>
    </row>
    <row r="18" spans="1:21" ht="15.75" thickBot="1" x14ac:dyDescent="0.3">
      <c r="A18" s="4" t="s">
        <v>9</v>
      </c>
      <c r="B18" s="4" t="s">
        <v>9</v>
      </c>
      <c r="C18" s="4" t="s">
        <v>34</v>
      </c>
      <c r="D18" s="4" t="s">
        <v>35</v>
      </c>
      <c r="E18" s="36">
        <v>609</v>
      </c>
      <c r="F18" s="37">
        <v>316.58999999999997</v>
      </c>
      <c r="G18" s="11">
        <f t="shared" si="3"/>
        <v>0.51985221674876847</v>
      </c>
      <c r="H18" s="11"/>
      <c r="I18" s="25">
        <f t="shared" si="4"/>
        <v>0</v>
      </c>
      <c r="J18" s="10">
        <f t="shared" si="4"/>
        <v>0</v>
      </c>
      <c r="K18" s="23">
        <f t="shared" si="10"/>
        <v>0</v>
      </c>
      <c r="M18" s="29">
        <v>609</v>
      </c>
      <c r="N18" s="31">
        <v>316.58999999999997</v>
      </c>
      <c r="O18" s="23">
        <f t="shared" si="11"/>
        <v>0.51985221674876847</v>
      </c>
      <c r="P18" s="39"/>
      <c r="Q18" s="45">
        <f>+M18*$M$4</f>
        <v>314.25618000000003</v>
      </c>
      <c r="R18" s="21">
        <f t="shared" si="6"/>
        <v>2.333819999999946</v>
      </c>
      <c r="S18" s="45">
        <f t="shared" si="7"/>
        <v>0</v>
      </c>
      <c r="T18" s="21">
        <f t="shared" si="8"/>
        <v>0</v>
      </c>
      <c r="U18" s="21">
        <f t="shared" si="9"/>
        <v>2.333819999999946</v>
      </c>
    </row>
    <row r="19" spans="1:21" ht="15.75" thickBot="1" x14ac:dyDescent="0.3">
      <c r="A19" s="46" t="s">
        <v>2</v>
      </c>
      <c r="B19" s="47"/>
      <c r="C19" s="47"/>
      <c r="D19" s="48"/>
      <c r="E19" s="7">
        <f>SUM(E6:E18)</f>
        <v>35446509</v>
      </c>
      <c r="F19" s="9">
        <f>SUM(F6:F18)</f>
        <v>18296729.210000005</v>
      </c>
      <c r="I19" s="26">
        <f>SUM(I6:I18)</f>
        <v>365027</v>
      </c>
      <c r="J19" s="9">
        <f>SUM(J6:J18)</f>
        <v>191855.6799999995</v>
      </c>
      <c r="M19" s="7">
        <f>SUM(M6:M18)</f>
        <v>35081482</v>
      </c>
      <c r="N19" s="9">
        <f>SUM(N6:N18)</f>
        <v>18104873.530000005</v>
      </c>
      <c r="P19" s="15"/>
      <c r="Q19" s="15"/>
      <c r="R19" s="21">
        <f>SUM(R6:R18)</f>
        <v>2127.1883600004203</v>
      </c>
      <c r="S19" s="15"/>
      <c r="T19" s="15"/>
      <c r="U19" s="15"/>
    </row>
    <row r="20" spans="1:21" x14ac:dyDescent="0.2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5"/>
      <c r="T20" s="15"/>
      <c r="U20" s="15"/>
    </row>
    <row r="21" spans="1:21" x14ac:dyDescent="0.25">
      <c r="G21" s="40"/>
      <c r="H21" s="40"/>
      <c r="I21" s="40"/>
      <c r="J21" s="40"/>
      <c r="K21" s="40"/>
      <c r="L21" s="40"/>
      <c r="M21" s="40"/>
      <c r="N21" s="41">
        <f>+N19+J19</f>
        <v>18296729.210000005</v>
      </c>
      <c r="O21" s="40"/>
      <c r="P21" s="40"/>
      <c r="Q21" s="40"/>
      <c r="R21" s="40"/>
      <c r="S21" s="15"/>
      <c r="T21" s="15"/>
      <c r="U21" s="15"/>
    </row>
    <row r="22" spans="1:21" x14ac:dyDescent="0.25">
      <c r="G22" s="40"/>
      <c r="H22" s="40"/>
      <c r="I22" s="40"/>
      <c r="J22" s="40"/>
      <c r="K22" s="40"/>
      <c r="L22" s="40"/>
      <c r="M22" s="40"/>
      <c r="N22" s="41">
        <f>+F19-N21</f>
        <v>0</v>
      </c>
      <c r="O22" s="40"/>
      <c r="P22" s="40"/>
      <c r="Q22" s="40"/>
      <c r="R22" s="40"/>
      <c r="S22" s="15"/>
      <c r="T22" s="15"/>
      <c r="U22" s="15"/>
    </row>
    <row r="23" spans="1:21" x14ac:dyDescent="0.25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  <c r="T23" s="15"/>
      <c r="U23" s="15"/>
    </row>
    <row r="24" spans="1:21" x14ac:dyDescent="0.25">
      <c r="G24" s="40" t="s">
        <v>54</v>
      </c>
      <c r="H24" s="40"/>
      <c r="I24" s="40"/>
      <c r="J24" s="41">
        <f>+J13+J14+J15+J16</f>
        <v>50453.339999999851</v>
      </c>
      <c r="K24" s="40"/>
      <c r="L24" s="40"/>
      <c r="M24" s="40"/>
      <c r="N24" s="41">
        <f>+N13+N14+N15+N16</f>
        <v>11822122.199999999</v>
      </c>
      <c r="O24" s="41">
        <f>+N24+J24</f>
        <v>11872575.539999999</v>
      </c>
      <c r="P24" s="40"/>
      <c r="Q24" s="40" t="s">
        <v>54</v>
      </c>
      <c r="R24" s="41">
        <f>+R13+R14+R15+R16</f>
        <v>1504.4782800006867</v>
      </c>
      <c r="S24" s="15"/>
      <c r="T24" s="15"/>
      <c r="U24" s="41">
        <f>+U13+U14+U15+U16</f>
        <v>2231.5509800005307</v>
      </c>
    </row>
    <row r="25" spans="1:21" x14ac:dyDescent="0.25">
      <c r="G25" s="40" t="s">
        <v>55</v>
      </c>
      <c r="H25" s="40"/>
      <c r="I25" s="40"/>
      <c r="J25" s="41">
        <f>+J6+J17+J18+J8</f>
        <v>113953.80999999959</v>
      </c>
      <c r="K25" s="40"/>
      <c r="L25" s="40"/>
      <c r="M25" s="40"/>
      <c r="N25" s="41">
        <f>+N6+N17+N18+N8</f>
        <v>5450182.4400000004</v>
      </c>
      <c r="O25" s="41">
        <f t="shared" ref="O25:O28" si="12">+N25+J25</f>
        <v>5564136.25</v>
      </c>
      <c r="P25" s="40"/>
      <c r="Q25" s="40" t="s">
        <v>55</v>
      </c>
      <c r="R25" s="41">
        <f>+R6+R17+R18+R8</f>
        <v>622.67693999979258</v>
      </c>
      <c r="S25" s="15"/>
      <c r="T25" s="15"/>
      <c r="U25" s="41">
        <f>+U6+U17+U18+U8</f>
        <v>2911.3069999993809</v>
      </c>
    </row>
    <row r="26" spans="1:21" x14ac:dyDescent="0.25">
      <c r="G26" s="40" t="s">
        <v>56</v>
      </c>
      <c r="H26" s="40"/>
      <c r="I26" s="40"/>
      <c r="J26" s="41">
        <f>+J9+J11</f>
        <v>772.05000000004657</v>
      </c>
      <c r="K26" s="40"/>
      <c r="L26" s="40"/>
      <c r="M26" s="40"/>
      <c r="N26" s="41">
        <f>+N9+N11</f>
        <v>411764.91</v>
      </c>
      <c r="O26" s="41">
        <f t="shared" si="12"/>
        <v>412536.96</v>
      </c>
      <c r="P26" s="40"/>
      <c r="Q26" s="40" t="s">
        <v>56</v>
      </c>
      <c r="R26" s="41">
        <f>+R9+R11</f>
        <v>4.2739999946206808E-2</v>
      </c>
      <c r="S26" s="15"/>
      <c r="T26" s="15"/>
      <c r="U26" s="41">
        <f>+U9+U11</f>
        <v>8.8991599999927757</v>
      </c>
    </row>
    <row r="27" spans="1:21" x14ac:dyDescent="0.25">
      <c r="G27" s="40" t="s">
        <v>57</v>
      </c>
      <c r="H27" s="40"/>
      <c r="I27" s="40"/>
      <c r="J27" s="41">
        <f>+J7+J10</f>
        <v>26676.48000000001</v>
      </c>
      <c r="K27" s="40"/>
      <c r="L27" s="40"/>
      <c r="M27" s="40"/>
      <c r="N27" s="41">
        <f>+N7+N10</f>
        <v>165656.34</v>
      </c>
      <c r="O27" s="41">
        <f t="shared" si="12"/>
        <v>192332.82</v>
      </c>
      <c r="P27" s="40"/>
      <c r="Q27" s="40" t="s">
        <v>57</v>
      </c>
      <c r="R27" s="41">
        <f>+R7+R10</f>
        <v>-1.2540000010631047E-2</v>
      </c>
      <c r="S27" s="15"/>
      <c r="T27" s="15"/>
      <c r="U27" s="41">
        <f>+U7+U10</f>
        <v>469.8757399999995</v>
      </c>
    </row>
    <row r="28" spans="1:21" x14ac:dyDescent="0.25">
      <c r="G28" s="40" t="s">
        <v>58</v>
      </c>
      <c r="H28" s="40"/>
      <c r="I28" s="40"/>
      <c r="J28" s="41">
        <f>+J12</f>
        <v>0</v>
      </c>
      <c r="K28" s="40"/>
      <c r="L28" s="40"/>
      <c r="M28" s="40"/>
      <c r="N28" s="41">
        <f>+N12</f>
        <v>255147.64</v>
      </c>
      <c r="O28" s="41">
        <f t="shared" si="12"/>
        <v>255147.64</v>
      </c>
      <c r="P28" s="40"/>
      <c r="Q28" s="40" t="s">
        <v>58</v>
      </c>
      <c r="R28" s="41">
        <f>+R12</f>
        <v>2.9400000057648867E-3</v>
      </c>
      <c r="S28" s="15"/>
      <c r="T28" s="15"/>
      <c r="U28" s="41">
        <f>+U12</f>
        <v>2.9400000057648867E-3</v>
      </c>
    </row>
    <row r="29" spans="1:21" x14ac:dyDescent="0.25">
      <c r="G29" s="40"/>
      <c r="H29" s="40"/>
      <c r="I29" s="40"/>
      <c r="J29" s="40"/>
      <c r="K29" s="40"/>
      <c r="L29" s="40"/>
      <c r="M29" s="40"/>
      <c r="N29" s="40"/>
      <c r="O29" s="41">
        <f>SUM(O24:O28)</f>
        <v>18296729.210000001</v>
      </c>
      <c r="P29" s="41">
        <f>+O29-F19</f>
        <v>0</v>
      </c>
      <c r="Q29" s="40"/>
      <c r="R29" s="40"/>
      <c r="S29" s="15"/>
      <c r="T29" s="15"/>
      <c r="U29" s="15"/>
    </row>
  </sheetData>
  <mergeCells count="5">
    <mergeCell ref="A19:D19"/>
    <mergeCell ref="A1:C1"/>
    <mergeCell ref="I4:J4"/>
    <mergeCell ref="M4:N4"/>
    <mergeCell ref="A3:C4"/>
  </mergeCells>
  <phoneticPr fontId="6" type="noConversion"/>
  <pageMargins left="0.75" right="0.75" top="1" bottom="1" header="0.5" footer="0.5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Jan12</vt:lpstr>
      <vt:lpstr>Feb12</vt:lpstr>
      <vt:lpstr>Mar12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2012-08-14T03:01:08Z</dcterms:created>
  <dcterms:modified xsi:type="dcterms:W3CDTF">2012-08-14T03:01:14Z</dcterms:modified>
</cp:coreProperties>
</file>