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 userName="Carol Foxworthy" reservationPassword="C6AD"/>
  <workbookPr codeName="ThisWorkbook"/>
  <bookViews>
    <workbookView xWindow="1980" yWindow="300" windowWidth="21060" windowHeight="10560" tabRatio="442" activeTab="4"/>
  </bookViews>
  <sheets>
    <sheet name="As Filed" sheetId="1" r:id="rId1"/>
    <sheet name="Form A As Filed" sheetId="4" r:id="rId2"/>
    <sheet name="Form A As Proposed" sheetId="6" r:id="rId3"/>
    <sheet name="Difference" sheetId="8" r:id="rId4"/>
    <sheet name="1.01" sheetId="7" r:id="rId5"/>
  </sheets>
  <externalReferences>
    <externalReference r:id="rId6"/>
    <externalReference r:id="rId7"/>
  </externalReferences>
  <definedNames>
    <definedName name="\\" localSheetId="3" hidden="1">#REF!</definedName>
    <definedName name="\\" localSheetId="2" hidden="1">#REF!</definedName>
    <definedName name="\\" hidden="1">#REF!</definedName>
    <definedName name="\\\" localSheetId="3" hidden="1">#REF!</definedName>
    <definedName name="\\\" localSheetId="2" hidden="1">#REF!</definedName>
    <definedName name="\\\" hidden="1">#REF!</definedName>
    <definedName name="\\\\" localSheetId="3" hidden="1">#REF!</definedName>
    <definedName name="\\\\" localSheetId="2" hidden="1">#REF!</definedName>
    <definedName name="\\\\" hidden="1">#REF!</definedName>
    <definedName name="__123Graph_A" localSheetId="3" hidden="1">#REF!</definedName>
    <definedName name="__123Graph_A" localSheetId="2" hidden="1">#REF!</definedName>
    <definedName name="__123Graph_A" hidden="1">#REF!</definedName>
    <definedName name="__123Graph_B" localSheetId="3" hidden="1">#REF!</definedName>
    <definedName name="__123Graph_B" localSheetId="2" hidden="1">#REF!</definedName>
    <definedName name="__123Graph_B" hidden="1">#REF!</definedName>
    <definedName name="__123Graph_C" localSheetId="3" hidden="1">#REF!</definedName>
    <definedName name="__123Graph_C" localSheetId="2" hidden="1">#REF!</definedName>
    <definedName name="__123Graph_C" hidden="1">#REF!</definedName>
    <definedName name="__123Graph_D" localSheetId="3" hidden="1">#REF!</definedName>
    <definedName name="__123Graph_D" localSheetId="2" hidden="1">#REF!</definedName>
    <definedName name="__123Graph_D" hidden="1">#REF!</definedName>
    <definedName name="__123Graph_E" localSheetId="3" hidden="1">#REF!</definedName>
    <definedName name="__123Graph_E" localSheetId="2" hidden="1">#REF!</definedName>
    <definedName name="__123Graph_E" hidden="1">#REF!</definedName>
    <definedName name="__123Graph_F" localSheetId="3" hidden="1">#REF!</definedName>
    <definedName name="__123Graph_F" localSheetId="2" hidden="1">#REF!</definedName>
    <definedName name="__123Graph_F" hidden="1">#REF!</definedName>
    <definedName name="__123Graph_X" localSheetId="3" hidden="1">#REF!</definedName>
    <definedName name="__123Graph_X" localSheetId="2" hidden="1">#REF!</definedName>
    <definedName name="__123Graph_X" hidden="1">#REF!</definedName>
    <definedName name="_Fill" localSheetId="3" hidden="1">#REF!</definedName>
    <definedName name="_Fill" localSheetId="2" hidden="1">#REF!</definedName>
    <definedName name="_Fill" hidden="1">#REF!</definedName>
    <definedName name="_Order1" hidden="1">0</definedName>
    <definedName name="_Order2" hidden="1">0</definedName>
    <definedName name="Choices_Wrapper" localSheetId="4">'1.01'!Choices_Wrapper</definedName>
    <definedName name="Choices_Wrapper">[0]!Choices_Wrapper</definedName>
    <definedName name="Comp" localSheetId="4">'1.01'!Comp</definedName>
    <definedName name="Comp">[0]!Comp</definedName>
    <definedName name="DataFWP" localSheetId="3">#REF!</definedName>
    <definedName name="DataFWP" localSheetId="2">#REF!</definedName>
    <definedName name="DataFWP">#REF!</definedName>
    <definedName name="DataWPS" localSheetId="3">#REF!</definedName>
    <definedName name="DataWPS" localSheetId="2">#REF!</definedName>
    <definedName name="DataWPS">#REF!</definedName>
    <definedName name="_xlnm.Print_Area" localSheetId="4">'1.01'!$A$3:$F$38</definedName>
    <definedName name="_xlnm.Print_Area" localSheetId="0">'As Filed'!#REF!</definedName>
    <definedName name="_xlnm.Print_Titles" localSheetId="0">'As Filed'!$1:$7</definedName>
    <definedName name="test" localSheetId="4">'1.01'!test</definedName>
    <definedName name="test">[0]!test</definedName>
    <definedName name="Z_8C084662_0E28_4177_A4EB_39B775DF23C3_.wvu.PrintArea" localSheetId="0" hidden="1">'As Filed'!#REF!</definedName>
    <definedName name="Z_8C084662_0E28_4177_A4EB_39B775DF23C3_.wvu.PrintTitles" localSheetId="0" hidden="1">'As Filed'!$1:$7</definedName>
  </definedNames>
  <calcPr calcId="125725" calcMode="manual" iterate="1" iterateCount="1"/>
  <customWorkbookViews>
    <customWorkbookView name=" Mary Gillespie - Personal View" guid="{8C084662-0E28-4177-A4EB-39B775DF23C3}" mergeInterval="0" personalView="1" maximized="1" xWindow="1" yWindow="1" windowWidth="1440" windowHeight="709" tabRatio="442" activeSheetId="1"/>
  </customWorkbookViews>
</workbook>
</file>

<file path=xl/calcChain.xml><?xml version="1.0" encoding="utf-8"?>
<calcChain xmlns="http://schemas.openxmlformats.org/spreadsheetml/2006/main">
  <c r="M32" i="7"/>
  <c r="M31"/>
  <c r="K32"/>
  <c r="K31"/>
  <c r="N62" i="6"/>
  <c r="L65" i="8"/>
  <c r="H65"/>
  <c r="D65"/>
  <c r="N64"/>
  <c r="M64"/>
  <c r="M65" s="1"/>
  <c r="M66" s="1"/>
  <c r="L64"/>
  <c r="L66" s="1"/>
  <c r="K64"/>
  <c r="J64"/>
  <c r="I64"/>
  <c r="I65" s="1"/>
  <c r="I66" s="1"/>
  <c r="H64"/>
  <c r="H66" s="1"/>
  <c r="G64"/>
  <c r="F64"/>
  <c r="E64"/>
  <c r="E65" s="1"/>
  <c r="E66" s="1"/>
  <c r="D64"/>
  <c r="D66" s="1"/>
  <c r="N62"/>
  <c r="M62"/>
  <c r="L62"/>
  <c r="K62"/>
  <c r="J62"/>
  <c r="I62"/>
  <c r="H62"/>
  <c r="G62"/>
  <c r="F62"/>
  <c r="E62"/>
  <c r="D62"/>
  <c r="L60"/>
  <c r="H60"/>
  <c r="D60"/>
  <c r="N58"/>
  <c r="N60" s="1"/>
  <c r="M58"/>
  <c r="M60" s="1"/>
  <c r="L58"/>
  <c r="K58"/>
  <c r="K60" s="1"/>
  <c r="J58"/>
  <c r="J60" s="1"/>
  <c r="I58"/>
  <c r="I60" s="1"/>
  <c r="H58"/>
  <c r="G58"/>
  <c r="G60" s="1"/>
  <c r="F58"/>
  <c r="F60" s="1"/>
  <c r="E58"/>
  <c r="E60" s="1"/>
  <c r="D58"/>
  <c r="N57"/>
  <c r="N63" s="1"/>
  <c r="M57"/>
  <c r="M63" s="1"/>
  <c r="M67" s="1"/>
  <c r="L57"/>
  <c r="L63" s="1"/>
  <c r="L67" s="1"/>
  <c r="K57"/>
  <c r="K63" s="1"/>
  <c r="J57"/>
  <c r="J63" s="1"/>
  <c r="I57"/>
  <c r="I63" s="1"/>
  <c r="I67" s="1"/>
  <c r="H57"/>
  <c r="H63" s="1"/>
  <c r="H67" s="1"/>
  <c r="G57"/>
  <c r="G63" s="1"/>
  <c r="F57"/>
  <c r="F63" s="1"/>
  <c r="E57"/>
  <c r="E63" s="1"/>
  <c r="E67" s="1"/>
  <c r="D57"/>
  <c r="D63" s="1"/>
  <c r="D67" s="1"/>
  <c r="N56"/>
  <c r="M56"/>
  <c r="L56"/>
  <c r="K56"/>
  <c r="J56"/>
  <c r="I56"/>
  <c r="H56"/>
  <c r="G56"/>
  <c r="F56"/>
  <c r="E56"/>
  <c r="D56"/>
  <c r="N55"/>
  <c r="M55"/>
  <c r="L55"/>
  <c r="K55"/>
  <c r="J55"/>
  <c r="I55"/>
  <c r="H55"/>
  <c r="G55"/>
  <c r="F55"/>
  <c r="E55"/>
  <c r="D55"/>
  <c r="C64"/>
  <c r="C58"/>
  <c r="C56"/>
  <c r="C55"/>
  <c r="C50"/>
  <c r="N48"/>
  <c r="M48"/>
  <c r="L48"/>
  <c r="K48"/>
  <c r="J48"/>
  <c r="I48"/>
  <c r="H48"/>
  <c r="G48"/>
  <c r="F48"/>
  <c r="E48"/>
  <c r="D48"/>
  <c r="N47"/>
  <c r="M47"/>
  <c r="L47"/>
  <c r="K47"/>
  <c r="J47"/>
  <c r="I47"/>
  <c r="H47"/>
  <c r="G47"/>
  <c r="F47"/>
  <c r="E47"/>
  <c r="D47"/>
  <c r="N46"/>
  <c r="M46"/>
  <c r="L46"/>
  <c r="K46"/>
  <c r="J46"/>
  <c r="I46"/>
  <c r="H46"/>
  <c r="G46"/>
  <c r="F46"/>
  <c r="E46"/>
  <c r="D46"/>
  <c r="N43"/>
  <c r="M43"/>
  <c r="L43"/>
  <c r="K43"/>
  <c r="J43"/>
  <c r="I43"/>
  <c r="H43"/>
  <c r="G43"/>
  <c r="F43"/>
  <c r="E43"/>
  <c r="D43"/>
  <c r="N42"/>
  <c r="M42"/>
  <c r="L42"/>
  <c r="K42"/>
  <c r="J42"/>
  <c r="I42"/>
  <c r="H42"/>
  <c r="G42"/>
  <c r="F42"/>
  <c r="E42"/>
  <c r="D42"/>
  <c r="N41"/>
  <c r="M41"/>
  <c r="L41"/>
  <c r="K41"/>
  <c r="J41"/>
  <c r="I41"/>
  <c r="H41"/>
  <c r="G41"/>
  <c r="F41"/>
  <c r="E41"/>
  <c r="D41"/>
  <c r="N40"/>
  <c r="N44" s="1"/>
  <c r="M40"/>
  <c r="M44" s="1"/>
  <c r="L40"/>
  <c r="L44" s="1"/>
  <c r="K40"/>
  <c r="K44" s="1"/>
  <c r="J40"/>
  <c r="J44" s="1"/>
  <c r="I40"/>
  <c r="I44" s="1"/>
  <c r="H40"/>
  <c r="H44" s="1"/>
  <c r="G40"/>
  <c r="G44" s="1"/>
  <c r="F40"/>
  <c r="F44" s="1"/>
  <c r="E40"/>
  <c r="E44" s="1"/>
  <c r="D40"/>
  <c r="D44" s="1"/>
  <c r="N32"/>
  <c r="M32"/>
  <c r="L32"/>
  <c r="K32"/>
  <c r="J32"/>
  <c r="I32"/>
  <c r="H32"/>
  <c r="G32"/>
  <c r="F32"/>
  <c r="E32"/>
  <c r="D32"/>
  <c r="N31"/>
  <c r="M31"/>
  <c r="L31"/>
  <c r="K31"/>
  <c r="J31"/>
  <c r="I31"/>
  <c r="H31"/>
  <c r="G31"/>
  <c r="F31"/>
  <c r="E31"/>
  <c r="D31"/>
  <c r="N30"/>
  <c r="M30"/>
  <c r="L30"/>
  <c r="K30"/>
  <c r="J30"/>
  <c r="I30"/>
  <c r="H30"/>
  <c r="G30"/>
  <c r="F30"/>
  <c r="E30"/>
  <c r="D30"/>
  <c r="N29"/>
  <c r="N33" s="1"/>
  <c r="M29"/>
  <c r="M33" s="1"/>
  <c r="L29"/>
  <c r="L33" s="1"/>
  <c r="K29"/>
  <c r="K33" s="1"/>
  <c r="J29"/>
  <c r="J33" s="1"/>
  <c r="I29"/>
  <c r="I33" s="1"/>
  <c r="H29"/>
  <c r="H33" s="1"/>
  <c r="G29"/>
  <c r="G33" s="1"/>
  <c r="F29"/>
  <c r="F33" s="1"/>
  <c r="E29"/>
  <c r="E33" s="1"/>
  <c r="D29"/>
  <c r="D33" s="1"/>
  <c r="N25"/>
  <c r="M25"/>
  <c r="L25"/>
  <c r="K25"/>
  <c r="J25"/>
  <c r="I25"/>
  <c r="H25"/>
  <c r="G25"/>
  <c r="F25"/>
  <c r="E25"/>
  <c r="D25"/>
  <c r="N24"/>
  <c r="M24"/>
  <c r="L24"/>
  <c r="K24"/>
  <c r="J24"/>
  <c r="I24"/>
  <c r="H24"/>
  <c r="G24"/>
  <c r="F24"/>
  <c r="E24"/>
  <c r="D24"/>
  <c r="N23"/>
  <c r="M23"/>
  <c r="L23"/>
  <c r="K23"/>
  <c r="J23"/>
  <c r="I23"/>
  <c r="H23"/>
  <c r="G23"/>
  <c r="F23"/>
  <c r="E23"/>
  <c r="D23"/>
  <c r="N22"/>
  <c r="M22"/>
  <c r="M26" s="1"/>
  <c r="L22"/>
  <c r="L26" s="1"/>
  <c r="K22"/>
  <c r="J22"/>
  <c r="I22"/>
  <c r="I26" s="1"/>
  <c r="H22"/>
  <c r="H26" s="1"/>
  <c r="G22"/>
  <c r="F22"/>
  <c r="E22"/>
  <c r="E26" s="1"/>
  <c r="D22"/>
  <c r="D26" s="1"/>
  <c r="N21"/>
  <c r="M21"/>
  <c r="L21"/>
  <c r="K21"/>
  <c r="J21"/>
  <c r="I21"/>
  <c r="H21"/>
  <c r="G21"/>
  <c r="F21"/>
  <c r="E21"/>
  <c r="D21"/>
  <c r="N17"/>
  <c r="N26" s="1"/>
  <c r="M17"/>
  <c r="M18" s="1"/>
  <c r="L17"/>
  <c r="L18" s="1"/>
  <c r="K17"/>
  <c r="K26" s="1"/>
  <c r="J17"/>
  <c r="J26" s="1"/>
  <c r="I17"/>
  <c r="I18" s="1"/>
  <c r="H17"/>
  <c r="H18" s="1"/>
  <c r="G17"/>
  <c r="G26" s="1"/>
  <c r="F17"/>
  <c r="F26" s="1"/>
  <c r="E17"/>
  <c r="E18" s="1"/>
  <c r="D17"/>
  <c r="D18" s="1"/>
  <c r="N16"/>
  <c r="M16"/>
  <c r="L16"/>
  <c r="K16"/>
  <c r="J16"/>
  <c r="I16"/>
  <c r="H16"/>
  <c r="G16"/>
  <c r="F16"/>
  <c r="E16"/>
  <c r="D16"/>
  <c r="N15"/>
  <c r="M15"/>
  <c r="L15"/>
  <c r="K15"/>
  <c r="J15"/>
  <c r="I15"/>
  <c r="H15"/>
  <c r="G15"/>
  <c r="F15"/>
  <c r="E15"/>
  <c r="D15"/>
  <c r="N14"/>
  <c r="M14"/>
  <c r="L14"/>
  <c r="K14"/>
  <c r="K18" s="1"/>
  <c r="J14"/>
  <c r="I14"/>
  <c r="H14"/>
  <c r="G14"/>
  <c r="G18" s="1"/>
  <c r="F14"/>
  <c r="E14"/>
  <c r="D14"/>
  <c r="N13"/>
  <c r="M13"/>
  <c r="L13"/>
  <c r="K13"/>
  <c r="J13"/>
  <c r="I13"/>
  <c r="H13"/>
  <c r="G13"/>
  <c r="F13"/>
  <c r="E13"/>
  <c r="D13"/>
  <c r="C25"/>
  <c r="C24"/>
  <c r="C23"/>
  <c r="C22"/>
  <c r="C21"/>
  <c r="C17"/>
  <c r="C16"/>
  <c r="C15"/>
  <c r="C14"/>
  <c r="C13"/>
  <c r="C32"/>
  <c r="C31"/>
  <c r="C30"/>
  <c r="C29"/>
  <c r="C48"/>
  <c r="C47"/>
  <c r="C46"/>
  <c r="C43"/>
  <c r="C42"/>
  <c r="C40"/>
  <c r="C41"/>
  <c r="C62"/>
  <c r="C57"/>
  <c r="J66" l="1"/>
  <c r="J67" s="1"/>
  <c r="N66"/>
  <c r="N67" s="1"/>
  <c r="G65"/>
  <c r="G66" s="1"/>
  <c r="G67" s="1"/>
  <c r="K65"/>
  <c r="K66" s="1"/>
  <c r="K67" s="1"/>
  <c r="F65"/>
  <c r="F66" s="1"/>
  <c r="F67" s="1"/>
  <c r="J65"/>
  <c r="N65"/>
  <c r="F18"/>
  <c r="J18"/>
  <c r="N18"/>
  <c r="C44"/>
  <c r="C33"/>
  <c r="C26"/>
  <c r="C60"/>
  <c r="C49"/>
  <c r="C18"/>
  <c r="D1"/>
  <c r="O32" i="7"/>
  <c r="F33"/>
  <c r="F35" s="1"/>
  <c r="D33"/>
  <c r="D35" s="1"/>
  <c r="H32"/>
  <c r="K33"/>
  <c r="H31"/>
  <c r="O30"/>
  <c r="H30"/>
  <c r="O29"/>
  <c r="H29"/>
  <c r="O28"/>
  <c r="H28"/>
  <c r="O27"/>
  <c r="H27"/>
  <c r="O26"/>
  <c r="H26"/>
  <c r="O25"/>
  <c r="H25"/>
  <c r="O24"/>
  <c r="H24"/>
  <c r="O23"/>
  <c r="H23"/>
  <c r="O22"/>
  <c r="H22"/>
  <c r="O21"/>
  <c r="H21"/>
  <c r="H33" s="1"/>
  <c r="H35" s="1"/>
  <c r="B12"/>
  <c r="F5"/>
  <c r="F4"/>
  <c r="F3"/>
  <c r="C41" i="6"/>
  <c r="D60"/>
  <c r="D62" s="1"/>
  <c r="C60"/>
  <c r="C62" s="1"/>
  <c r="D56"/>
  <c r="D57" s="1"/>
  <c r="D63" s="1"/>
  <c r="C56"/>
  <c r="C57" s="1"/>
  <c r="C63" s="1"/>
  <c r="C49"/>
  <c r="E48"/>
  <c r="C48"/>
  <c r="C47"/>
  <c r="C46"/>
  <c r="C43"/>
  <c r="C42"/>
  <c r="C40"/>
  <c r="C44" s="1"/>
  <c r="E31"/>
  <c r="C31"/>
  <c r="C30"/>
  <c r="C29"/>
  <c r="C25"/>
  <c r="C24"/>
  <c r="C23"/>
  <c r="E22"/>
  <c r="C22"/>
  <c r="C21"/>
  <c r="E17"/>
  <c r="C17"/>
  <c r="C26" s="1"/>
  <c r="C16"/>
  <c r="C15"/>
  <c r="F1"/>
  <c r="E1"/>
  <c r="D1"/>
  <c r="D41" s="1"/>
  <c r="BS31" i="1"/>
  <c r="D49" i="8" l="1"/>
  <c r="E1"/>
  <c r="C51"/>
  <c r="C53" s="1"/>
  <c r="C63"/>
  <c r="M33" i="7"/>
  <c r="M35" s="1"/>
  <c r="K35"/>
  <c r="O31"/>
  <c r="O33" s="1"/>
  <c r="O35" s="1"/>
  <c r="F88" i="6"/>
  <c r="G1"/>
  <c r="F89"/>
  <c r="F56"/>
  <c r="F90"/>
  <c r="E56"/>
  <c r="E41"/>
  <c r="C50"/>
  <c r="F23"/>
  <c r="F40"/>
  <c r="F49"/>
  <c r="F91"/>
  <c r="F15"/>
  <c r="E23"/>
  <c r="F24"/>
  <c r="F29"/>
  <c r="E40"/>
  <c r="F42"/>
  <c r="F46"/>
  <c r="E49"/>
  <c r="E15"/>
  <c r="F16"/>
  <c r="F21"/>
  <c r="E24"/>
  <c r="F25"/>
  <c r="E29"/>
  <c r="F30"/>
  <c r="E42"/>
  <c r="F43"/>
  <c r="E46"/>
  <c r="F47"/>
  <c r="F41"/>
  <c r="E16"/>
  <c r="E26" s="1"/>
  <c r="F17"/>
  <c r="E21"/>
  <c r="F22"/>
  <c r="E25"/>
  <c r="E30"/>
  <c r="F31"/>
  <c r="E43"/>
  <c r="C51"/>
  <c r="C53" s="1"/>
  <c r="E47"/>
  <c r="F48"/>
  <c r="D15"/>
  <c r="D16"/>
  <c r="D17"/>
  <c r="D21"/>
  <c r="D22"/>
  <c r="D23"/>
  <c r="D24"/>
  <c r="D25"/>
  <c r="D29"/>
  <c r="D30"/>
  <c r="D31"/>
  <c r="D40"/>
  <c r="D44" s="1"/>
  <c r="D42"/>
  <c r="D43"/>
  <c r="D46"/>
  <c r="D47"/>
  <c r="D48"/>
  <c r="D49"/>
  <c r="C18"/>
  <c r="C32"/>
  <c r="C33" s="1"/>
  <c r="BM31" i="1"/>
  <c r="BR31" s="1"/>
  <c r="BM32"/>
  <c r="C5" i="8" l="1"/>
  <c r="E49"/>
  <c r="F1"/>
  <c r="C64" i="6"/>
  <c r="C5"/>
  <c r="D50"/>
  <c r="F33"/>
  <c r="F32"/>
  <c r="G41"/>
  <c r="G49"/>
  <c r="G48"/>
  <c r="G47"/>
  <c r="G46"/>
  <c r="G43"/>
  <c r="G42"/>
  <c r="G40"/>
  <c r="G31"/>
  <c r="G30"/>
  <c r="G29"/>
  <c r="G25"/>
  <c r="G24"/>
  <c r="G23"/>
  <c r="G22"/>
  <c r="G21"/>
  <c r="G17"/>
  <c r="G16"/>
  <c r="G15"/>
  <c r="H1"/>
  <c r="G56"/>
  <c r="D32"/>
  <c r="D33" s="1"/>
  <c r="F18"/>
  <c r="F26"/>
  <c r="E32"/>
  <c r="E33"/>
  <c r="D26"/>
  <c r="D18"/>
  <c r="E44"/>
  <c r="F44"/>
  <c r="E18"/>
  <c r="D51"/>
  <c r="D53" s="1"/>
  <c r="BT33" i="1"/>
  <c r="BR33"/>
  <c r="BR12"/>
  <c r="BT12"/>
  <c r="BT13"/>
  <c r="BT14"/>
  <c r="BT15"/>
  <c r="BT16"/>
  <c r="BT17"/>
  <c r="BT18"/>
  <c r="BT19"/>
  <c r="BT20"/>
  <c r="BT21"/>
  <c r="BT22"/>
  <c r="BT23"/>
  <c r="BT24"/>
  <c r="BT25"/>
  <c r="BT26"/>
  <c r="BT27"/>
  <c r="BT28"/>
  <c r="BT29"/>
  <c r="BT30"/>
  <c r="BT31"/>
  <c r="BT32"/>
  <c r="N56" i="4"/>
  <c r="M56"/>
  <c r="L56"/>
  <c r="K56"/>
  <c r="J56"/>
  <c r="I56"/>
  <c r="H56"/>
  <c r="G56"/>
  <c r="F56"/>
  <c r="D56"/>
  <c r="C56"/>
  <c r="E56"/>
  <c r="N25"/>
  <c r="M25"/>
  <c r="L25"/>
  <c r="K25"/>
  <c r="J25"/>
  <c r="I25"/>
  <c r="H25"/>
  <c r="G25"/>
  <c r="F25"/>
  <c r="E25"/>
  <c r="D25"/>
  <c r="N24"/>
  <c r="M24"/>
  <c r="L24"/>
  <c r="K24"/>
  <c r="J24"/>
  <c r="I24"/>
  <c r="H24"/>
  <c r="G24"/>
  <c r="F24"/>
  <c r="E24"/>
  <c r="D24"/>
  <c r="N23"/>
  <c r="M23"/>
  <c r="L23"/>
  <c r="K23"/>
  <c r="J23"/>
  <c r="I23"/>
  <c r="H23"/>
  <c r="G23"/>
  <c r="F23"/>
  <c r="E23"/>
  <c r="D23"/>
  <c r="N22"/>
  <c r="M22"/>
  <c r="L22"/>
  <c r="K22"/>
  <c r="J22"/>
  <c r="I22"/>
  <c r="H22"/>
  <c r="G22"/>
  <c r="F22"/>
  <c r="E22"/>
  <c r="D22"/>
  <c r="N21"/>
  <c r="M21"/>
  <c r="L21"/>
  <c r="K21"/>
  <c r="J21"/>
  <c r="I21"/>
  <c r="H21"/>
  <c r="G21"/>
  <c r="F21"/>
  <c r="E21"/>
  <c r="D21"/>
  <c r="C49"/>
  <c r="BQ20" i="1"/>
  <c r="BP18"/>
  <c r="BR18" s="1"/>
  <c r="BQ18"/>
  <c r="BQ17"/>
  <c r="BP17"/>
  <c r="BR17" s="1"/>
  <c r="BR15"/>
  <c r="BR13"/>
  <c r="BQ16"/>
  <c r="BR16" s="1"/>
  <c r="BP16"/>
  <c r="BQ15"/>
  <c r="BP15"/>
  <c r="BP14"/>
  <c r="BR14" s="1"/>
  <c r="BQ14"/>
  <c r="BQ13"/>
  <c r="D53" i="8" l="1"/>
  <c r="D50"/>
  <c r="D51" s="1"/>
  <c r="E50"/>
  <c r="E51" s="1"/>
  <c r="E53" s="1"/>
  <c r="C65"/>
  <c r="C66" s="1"/>
  <c r="C67" s="1"/>
  <c r="C35" s="1"/>
  <c r="C37" s="1"/>
  <c r="C4" s="1"/>
  <c r="C7" s="1"/>
  <c r="C9" s="1"/>
  <c r="F89"/>
  <c r="F90"/>
  <c r="F91"/>
  <c r="F49"/>
  <c r="G1"/>
  <c r="F88"/>
  <c r="D64" i="6"/>
  <c r="D5"/>
  <c r="F53"/>
  <c r="F50"/>
  <c r="F51" s="1"/>
  <c r="G33"/>
  <c r="G32"/>
  <c r="C66"/>
  <c r="C67" s="1"/>
  <c r="C35" s="1"/>
  <c r="C37" s="1"/>
  <c r="C4" s="1"/>
  <c r="C65"/>
  <c r="H41"/>
  <c r="H49"/>
  <c r="H48"/>
  <c r="H47"/>
  <c r="H46"/>
  <c r="H43"/>
  <c r="H42"/>
  <c r="H40"/>
  <c r="H31"/>
  <c r="H30"/>
  <c r="H29"/>
  <c r="H25"/>
  <c r="H24"/>
  <c r="H23"/>
  <c r="H22"/>
  <c r="H21"/>
  <c r="H17"/>
  <c r="H16"/>
  <c r="H15"/>
  <c r="I1"/>
  <c r="H56"/>
  <c r="C7"/>
  <c r="C9" s="1"/>
  <c r="E55" s="1"/>
  <c r="E57" s="1"/>
  <c r="E58"/>
  <c r="E60" s="1"/>
  <c r="G26"/>
  <c r="G18"/>
  <c r="E53"/>
  <c r="E50"/>
  <c r="E51" s="1"/>
  <c r="G44"/>
  <c r="BM13" i="1"/>
  <c r="D60" i="4"/>
  <c r="D62" s="1"/>
  <c r="C60"/>
  <c r="C62" s="1"/>
  <c r="C57"/>
  <c r="D1"/>
  <c r="BT34" i="1"/>
  <c r="E5" i="8" l="1"/>
  <c r="F50"/>
  <c r="F51" s="1"/>
  <c r="F53" s="1"/>
  <c r="D5"/>
  <c r="G49"/>
  <c r="H1"/>
  <c r="H26" i="6"/>
  <c r="H18"/>
  <c r="D66"/>
  <c r="D67" s="1"/>
  <c r="D35" s="1"/>
  <c r="D37" s="1"/>
  <c r="D4" s="1"/>
  <c r="D65"/>
  <c r="G53"/>
  <c r="G50"/>
  <c r="G51" s="1"/>
  <c r="E64"/>
  <c r="E5"/>
  <c r="D7"/>
  <c r="D9" s="1"/>
  <c r="F55" s="1"/>
  <c r="F57" s="1"/>
  <c r="F58"/>
  <c r="F60" s="1"/>
  <c r="H33"/>
  <c r="H32"/>
  <c r="F64"/>
  <c r="F5"/>
  <c r="I56"/>
  <c r="I41"/>
  <c r="I49"/>
  <c r="I40"/>
  <c r="I23"/>
  <c r="I48"/>
  <c r="I31"/>
  <c r="I22"/>
  <c r="I17"/>
  <c r="J1"/>
  <c r="I47"/>
  <c r="I43"/>
  <c r="I30"/>
  <c r="I25"/>
  <c r="I21"/>
  <c r="I16"/>
  <c r="I46"/>
  <c r="I42"/>
  <c r="I29"/>
  <c r="I24"/>
  <c r="I15"/>
  <c r="E63"/>
  <c r="E62"/>
  <c r="H44"/>
  <c r="E1" i="4"/>
  <c r="D49"/>
  <c r="D46"/>
  <c r="D48"/>
  <c r="D47"/>
  <c r="D57"/>
  <c r="D63" s="1"/>
  <c r="C63"/>
  <c r="BM34" i="1"/>
  <c r="BR34" s="1"/>
  <c r="BC34"/>
  <c r="BG34"/>
  <c r="BH34"/>
  <c r="Q34"/>
  <c r="BF34" s="1"/>
  <c r="F5" i="8" l="1"/>
  <c r="D35"/>
  <c r="D37" s="1"/>
  <c r="D4" s="1"/>
  <c r="D7" s="1"/>
  <c r="D9" s="1"/>
  <c r="H49"/>
  <c r="I1"/>
  <c r="E35"/>
  <c r="E37" s="1"/>
  <c r="E4" s="1"/>
  <c r="E7" s="1"/>
  <c r="E9" s="1"/>
  <c r="I33" i="6"/>
  <c r="I32"/>
  <c r="F66"/>
  <c r="F65"/>
  <c r="G64"/>
  <c r="G5"/>
  <c r="H58"/>
  <c r="H60" s="1"/>
  <c r="I26"/>
  <c r="I18"/>
  <c r="E66"/>
  <c r="E65"/>
  <c r="H53"/>
  <c r="H50"/>
  <c r="H51" s="1"/>
  <c r="K1"/>
  <c r="J56"/>
  <c r="J46"/>
  <c r="J42"/>
  <c r="J29"/>
  <c r="J24"/>
  <c r="J15"/>
  <c r="J49"/>
  <c r="J40"/>
  <c r="J23"/>
  <c r="J41"/>
  <c r="J48"/>
  <c r="J31"/>
  <c r="J22"/>
  <c r="J17"/>
  <c r="J47"/>
  <c r="J43"/>
  <c r="J30"/>
  <c r="J25"/>
  <c r="J21"/>
  <c r="J16"/>
  <c r="G58"/>
  <c r="G60" s="1"/>
  <c r="E7"/>
  <c r="E9" s="1"/>
  <c r="G55" s="1"/>
  <c r="G57" s="1"/>
  <c r="E67"/>
  <c r="E35" s="1"/>
  <c r="E37" s="1"/>
  <c r="E4" s="1"/>
  <c r="I44"/>
  <c r="F62"/>
  <c r="F63" s="1"/>
  <c r="F67" s="1"/>
  <c r="F35" s="1"/>
  <c r="F37" s="1"/>
  <c r="F4" s="1"/>
  <c r="F7" s="1"/>
  <c r="F9" s="1"/>
  <c r="H55" s="1"/>
  <c r="H57" s="1"/>
  <c r="E46" i="4"/>
  <c r="E48"/>
  <c r="E49"/>
  <c r="E47"/>
  <c r="F1"/>
  <c r="F88"/>
  <c r="F89"/>
  <c r="F90"/>
  <c r="G1"/>
  <c r="BC33" i="1"/>
  <c r="BG33"/>
  <c r="BH33"/>
  <c r="G50" i="8" l="1"/>
  <c r="G51" s="1"/>
  <c r="G53" s="1"/>
  <c r="I49"/>
  <c r="J1"/>
  <c r="H63" i="6"/>
  <c r="J18"/>
  <c r="J26"/>
  <c r="H64"/>
  <c r="H5"/>
  <c r="G66"/>
  <c r="G65"/>
  <c r="I58"/>
  <c r="I60" s="1"/>
  <c r="J32"/>
  <c r="J33" s="1"/>
  <c r="K41"/>
  <c r="K49"/>
  <c r="K48"/>
  <c r="K47"/>
  <c r="K46"/>
  <c r="K43"/>
  <c r="K42"/>
  <c r="K40"/>
  <c r="K31"/>
  <c r="K30"/>
  <c r="K29"/>
  <c r="K25"/>
  <c r="K24"/>
  <c r="K23"/>
  <c r="K22"/>
  <c r="K21"/>
  <c r="K17"/>
  <c r="K16"/>
  <c r="K15"/>
  <c r="L1"/>
  <c r="K56"/>
  <c r="I53"/>
  <c r="I50"/>
  <c r="I51" s="1"/>
  <c r="G63"/>
  <c r="J44"/>
  <c r="H62"/>
  <c r="G62"/>
  <c r="G48" i="4"/>
  <c r="G47"/>
  <c r="G46"/>
  <c r="G49"/>
  <c r="F47"/>
  <c r="F49"/>
  <c r="F46"/>
  <c r="F48"/>
  <c r="F91"/>
  <c r="H1"/>
  <c r="Q33" i="1"/>
  <c r="BF33" s="1"/>
  <c r="F35" i="8" l="1"/>
  <c r="F37" s="1"/>
  <c r="F4" s="1"/>
  <c r="F7" s="1"/>
  <c r="F9" s="1"/>
  <c r="J49"/>
  <c r="K1"/>
  <c r="G5"/>
  <c r="H50"/>
  <c r="H51" s="1"/>
  <c r="H53" s="1"/>
  <c r="I5" i="6"/>
  <c r="I64"/>
  <c r="J58"/>
  <c r="J60" s="1"/>
  <c r="J53"/>
  <c r="J50"/>
  <c r="J51" s="1"/>
  <c r="K33"/>
  <c r="K32"/>
  <c r="L41"/>
  <c r="L49"/>
  <c r="L48"/>
  <c r="L47"/>
  <c r="L46"/>
  <c r="L43"/>
  <c r="L42"/>
  <c r="L40"/>
  <c r="L31"/>
  <c r="L30"/>
  <c r="L29"/>
  <c r="L25"/>
  <c r="L24"/>
  <c r="L23"/>
  <c r="L22"/>
  <c r="L21"/>
  <c r="L17"/>
  <c r="L16"/>
  <c r="L15"/>
  <c r="M1"/>
  <c r="L56"/>
  <c r="K26"/>
  <c r="K18"/>
  <c r="H65"/>
  <c r="H66" s="1"/>
  <c r="H67" s="1"/>
  <c r="H35" s="1"/>
  <c r="H37" s="1"/>
  <c r="H4" s="1"/>
  <c r="H7" s="1"/>
  <c r="H9" s="1"/>
  <c r="J55" s="1"/>
  <c r="J57" s="1"/>
  <c r="G67"/>
  <c r="G35" s="1"/>
  <c r="G37" s="1"/>
  <c r="G4" s="1"/>
  <c r="G7" s="1"/>
  <c r="G9" s="1"/>
  <c r="I55" s="1"/>
  <c r="I57" s="1"/>
  <c r="K44"/>
  <c r="H49" i="4"/>
  <c r="H47"/>
  <c r="H48"/>
  <c r="H46"/>
  <c r="I1"/>
  <c r="BR32" i="1"/>
  <c r="BS33" s="1"/>
  <c r="I50" i="8" l="1"/>
  <c r="I51" s="1"/>
  <c r="I53" s="1"/>
  <c r="G35"/>
  <c r="G37" s="1"/>
  <c r="G4" s="1"/>
  <c r="G7" s="1"/>
  <c r="G9" s="1"/>
  <c r="H5"/>
  <c r="K49"/>
  <c r="L1"/>
  <c r="J63" i="6"/>
  <c r="L26"/>
  <c r="L18"/>
  <c r="J5"/>
  <c r="J64"/>
  <c r="K58"/>
  <c r="K60" s="1"/>
  <c r="K50"/>
  <c r="K51" s="1"/>
  <c r="K53" s="1"/>
  <c r="I65"/>
  <c r="I66" s="1"/>
  <c r="L32"/>
  <c r="L33" s="1"/>
  <c r="M56"/>
  <c r="M41"/>
  <c r="M47"/>
  <c r="M43"/>
  <c r="M30"/>
  <c r="M25"/>
  <c r="M21"/>
  <c r="M16"/>
  <c r="M46"/>
  <c r="M42"/>
  <c r="M29"/>
  <c r="M24"/>
  <c r="M15"/>
  <c r="M49"/>
  <c r="M40"/>
  <c r="M23"/>
  <c r="M48"/>
  <c r="M31"/>
  <c r="M22"/>
  <c r="M17"/>
  <c r="N1"/>
  <c r="I62"/>
  <c r="I63" s="1"/>
  <c r="L44"/>
  <c r="J62"/>
  <c r="I46" i="4"/>
  <c r="I49"/>
  <c r="I48"/>
  <c r="I47"/>
  <c r="J1"/>
  <c r="BG32" i="1"/>
  <c r="BC32"/>
  <c r="BH32"/>
  <c r="I5" i="8" l="1"/>
  <c r="L49"/>
  <c r="M1"/>
  <c r="K50"/>
  <c r="K51" s="1"/>
  <c r="K53" s="1"/>
  <c r="J50"/>
  <c r="J51" s="1"/>
  <c r="J53" s="1"/>
  <c r="H35"/>
  <c r="H37" s="1"/>
  <c r="H4" s="1"/>
  <c r="H7" s="1"/>
  <c r="H9" s="1"/>
  <c r="K64" i="6"/>
  <c r="K5"/>
  <c r="I67"/>
  <c r="I35" s="1"/>
  <c r="I37" s="1"/>
  <c r="I4" s="1"/>
  <c r="I7" s="1"/>
  <c r="I9" s="1"/>
  <c r="K55" s="1"/>
  <c r="K57" s="1"/>
  <c r="J65"/>
  <c r="J66"/>
  <c r="J67" s="1"/>
  <c r="J35" s="1"/>
  <c r="J37" s="1"/>
  <c r="J4" s="1"/>
  <c r="J7" s="1"/>
  <c r="J9" s="1"/>
  <c r="L55" s="1"/>
  <c r="L57" s="1"/>
  <c r="M18"/>
  <c r="M26"/>
  <c r="N56"/>
  <c r="N48"/>
  <c r="N31"/>
  <c r="N22"/>
  <c r="N17"/>
  <c r="N47"/>
  <c r="N43"/>
  <c r="N30"/>
  <c r="N25"/>
  <c r="N21"/>
  <c r="N16"/>
  <c r="N46"/>
  <c r="N42"/>
  <c r="N29"/>
  <c r="N24"/>
  <c r="N15"/>
  <c r="N41"/>
  <c r="N49"/>
  <c r="N40"/>
  <c r="N23"/>
  <c r="L53"/>
  <c r="L50"/>
  <c r="L51" s="1"/>
  <c r="M32"/>
  <c r="M33" s="1"/>
  <c r="L58"/>
  <c r="L60" s="1"/>
  <c r="M44"/>
  <c r="J47" i="4"/>
  <c r="J46"/>
  <c r="J49"/>
  <c r="J48"/>
  <c r="K1"/>
  <c r="Q32" i="1"/>
  <c r="BF32" s="1"/>
  <c r="K5" i="8" l="1"/>
  <c r="M49"/>
  <c r="N1"/>
  <c r="J5"/>
  <c r="I35"/>
  <c r="I37" s="1"/>
  <c r="I4" s="1"/>
  <c r="I7" s="1"/>
  <c r="I9" s="1"/>
  <c r="L63" i="6"/>
  <c r="L64"/>
  <c r="L5"/>
  <c r="N18"/>
  <c r="N26"/>
  <c r="K66"/>
  <c r="K65"/>
  <c r="M50"/>
  <c r="M51" s="1"/>
  <c r="M53" s="1"/>
  <c r="M58"/>
  <c r="M60" s="1"/>
  <c r="L62"/>
  <c r="K63"/>
  <c r="K67" s="1"/>
  <c r="K35" s="1"/>
  <c r="K37" s="1"/>
  <c r="K4" s="1"/>
  <c r="K7" s="1"/>
  <c r="K9" s="1"/>
  <c r="M55" s="1"/>
  <c r="M57" s="1"/>
  <c r="N44"/>
  <c r="N33"/>
  <c r="N32"/>
  <c r="K62"/>
  <c r="K48" i="4"/>
  <c r="K46"/>
  <c r="K47"/>
  <c r="L1"/>
  <c r="M50" i="8" l="1"/>
  <c r="M51" s="1"/>
  <c r="M53" s="1"/>
  <c r="N49"/>
  <c r="L50"/>
  <c r="L51" s="1"/>
  <c r="L53" s="1"/>
  <c r="J35"/>
  <c r="J37" s="1"/>
  <c r="J4" s="1"/>
  <c r="J7" s="1"/>
  <c r="J9" s="1"/>
  <c r="M64" i="6"/>
  <c r="M5"/>
  <c r="N50"/>
  <c r="N51" s="1"/>
  <c r="N53" s="1"/>
  <c r="L65"/>
  <c r="L66" s="1"/>
  <c r="L67" s="1"/>
  <c r="L35" s="1"/>
  <c r="L37" s="1"/>
  <c r="L4" s="1"/>
  <c r="L7" s="1"/>
  <c r="L9" s="1"/>
  <c r="N55" s="1"/>
  <c r="N57" s="1"/>
  <c r="N58"/>
  <c r="N60" s="1"/>
  <c r="M62"/>
  <c r="M63" s="1"/>
  <c r="L46" i="4"/>
  <c r="L48"/>
  <c r="L47"/>
  <c r="M1"/>
  <c r="BC31" i="1"/>
  <c r="BH31"/>
  <c r="K35" i="8" l="1"/>
  <c r="K37" s="1"/>
  <c r="K4" s="1"/>
  <c r="K7" s="1"/>
  <c r="K9" s="1"/>
  <c r="M5"/>
  <c r="L5"/>
  <c r="N64" i="6"/>
  <c r="N5"/>
  <c r="M66"/>
  <c r="M67" s="1"/>
  <c r="M35" s="1"/>
  <c r="M37" s="1"/>
  <c r="M4" s="1"/>
  <c r="M7" s="1"/>
  <c r="M9" s="1"/>
  <c r="M65"/>
  <c r="N63"/>
  <c r="M46" i="4"/>
  <c r="M48"/>
  <c r="M47"/>
  <c r="N1"/>
  <c r="Q31" i="1"/>
  <c r="BF31" s="1"/>
  <c r="AE31"/>
  <c r="BG31" s="1"/>
  <c r="BQ19"/>
  <c r="N53" i="8" l="1"/>
  <c r="N50"/>
  <c r="N51" s="1"/>
  <c r="L35"/>
  <c r="L37" s="1"/>
  <c r="L4" s="1"/>
  <c r="L7" s="1"/>
  <c r="L9" s="1"/>
  <c r="M35"/>
  <c r="M37" s="1"/>
  <c r="M4" s="1"/>
  <c r="M7" s="1"/>
  <c r="M9" s="1"/>
  <c r="N65" i="6"/>
  <c r="N66" s="1"/>
  <c r="N67" s="1"/>
  <c r="N35" s="1"/>
  <c r="N37" s="1"/>
  <c r="N4" s="1"/>
  <c r="N7" s="1"/>
  <c r="N9" s="1"/>
  <c r="N47" i="4"/>
  <c r="N46"/>
  <c r="N48"/>
  <c r="BO22" i="1"/>
  <c r="BO20"/>
  <c r="N5" i="8" l="1"/>
  <c r="BP19" i="1"/>
  <c r="N35" i="8" l="1"/>
  <c r="N37" s="1"/>
  <c r="N4" s="1"/>
  <c r="N7" s="1"/>
  <c r="N9" s="1"/>
  <c r="BR19" i="1"/>
  <c r="BQ29"/>
  <c r="BP29"/>
  <c r="BP20"/>
  <c r="BR20" s="1"/>
  <c r="BP22"/>
  <c r="BQ21"/>
  <c r="BP21"/>
  <c r="BQ22"/>
  <c r="BQ23"/>
  <c r="BP23"/>
  <c r="BQ24"/>
  <c r="BP24"/>
  <c r="BQ25"/>
  <c r="BP25"/>
  <c r="BQ26"/>
  <c r="BP26"/>
  <c r="BQ27"/>
  <c r="BP27"/>
  <c r="BQ28"/>
  <c r="BP28"/>
  <c r="BR28" l="1"/>
  <c r="BR21"/>
  <c r="BU33" l="1"/>
  <c r="BU26"/>
  <c r="BU25"/>
  <c r="BU24"/>
  <c r="BU23"/>
  <c r="BU31"/>
  <c r="BU34"/>
  <c r="BU32"/>
  <c r="BM30"/>
  <c r="Q30"/>
  <c r="BF30" s="1"/>
  <c r="BC30"/>
  <c r="BG30"/>
  <c r="BH30"/>
  <c r="BM29"/>
  <c r="BR29" s="1"/>
  <c r="BR30" l="1"/>
  <c r="BC29"/>
  <c r="BG29"/>
  <c r="BH29"/>
  <c r="Q29"/>
  <c r="BF29" s="1"/>
  <c r="BG28" l="1"/>
  <c r="BC28"/>
  <c r="BH28"/>
  <c r="Q28" l="1"/>
  <c r="BF28" s="1"/>
  <c r="BM19"/>
  <c r="BM16"/>
  <c r="BM22"/>
  <c r="BR22" s="1"/>
  <c r="BM23"/>
  <c r="BR23" s="1"/>
  <c r="BM24"/>
  <c r="BR24" s="1"/>
  <c r="BM25"/>
  <c r="BR25" s="1"/>
  <c r="BM26"/>
  <c r="BR26" s="1"/>
  <c r="BM27"/>
  <c r="BR27" s="1"/>
  <c r="S26"/>
  <c r="BG26" s="1"/>
  <c r="S25"/>
  <c r="BG25" s="1"/>
  <c r="S27"/>
  <c r="BG27" s="1"/>
  <c r="Q27"/>
  <c r="BF27" s="1"/>
  <c r="BC27"/>
  <c r="BH27"/>
  <c r="B7"/>
  <c r="C7" s="1"/>
  <c r="D7" s="1"/>
  <c r="E7" s="1"/>
  <c r="F7" s="1"/>
  <c r="G7" s="1"/>
  <c r="H7" s="1"/>
  <c r="I7" s="1"/>
  <c r="J7" s="1"/>
  <c r="K7" s="1"/>
  <c r="Q10"/>
  <c r="BF10" s="1"/>
  <c r="BC10"/>
  <c r="BG10"/>
  <c r="BH10"/>
  <c r="M11"/>
  <c r="BF11" s="1"/>
  <c r="Q11"/>
  <c r="BC11"/>
  <c r="BG11"/>
  <c r="BH11"/>
  <c r="M12"/>
  <c r="Q12"/>
  <c r="BC12"/>
  <c r="BF12"/>
  <c r="BG12"/>
  <c r="BH12"/>
  <c r="M13"/>
  <c r="Q13"/>
  <c r="BC13"/>
  <c r="BG13"/>
  <c r="BH13"/>
  <c r="M14"/>
  <c r="Q14"/>
  <c r="V14"/>
  <c r="AA14"/>
  <c r="AB14"/>
  <c r="AP14"/>
  <c r="AU14"/>
  <c r="BC14"/>
  <c r="BG14"/>
  <c r="M15"/>
  <c r="Q15"/>
  <c r="BC15"/>
  <c r="BE15"/>
  <c r="BG15"/>
  <c r="BH15"/>
  <c r="M16"/>
  <c r="Q16"/>
  <c r="BC16"/>
  <c r="BG16"/>
  <c r="BH16"/>
  <c r="Q17"/>
  <c r="BF17" s="1"/>
  <c r="BC17"/>
  <c r="BG17"/>
  <c r="BH17"/>
  <c r="M18"/>
  <c r="BF18" s="1"/>
  <c r="Q18"/>
  <c r="BC18"/>
  <c r="BG18"/>
  <c r="BH18"/>
  <c r="M19"/>
  <c r="Q19"/>
  <c r="BC19"/>
  <c r="BG19"/>
  <c r="BH19"/>
  <c r="Q20"/>
  <c r="BF20" s="1"/>
  <c r="BC20"/>
  <c r="BG20"/>
  <c r="BH20"/>
  <c r="Q21"/>
  <c r="BF21" s="1"/>
  <c r="BC21"/>
  <c r="BG21"/>
  <c r="BH21"/>
  <c r="Q22"/>
  <c r="BC22"/>
  <c r="BF22"/>
  <c r="BG22"/>
  <c r="BH22"/>
  <c r="F23"/>
  <c r="M23"/>
  <c r="Q23"/>
  <c r="BC23"/>
  <c r="BG23"/>
  <c r="BH23"/>
  <c r="M24"/>
  <c r="BF24" s="1"/>
  <c r="Q24"/>
  <c r="BC24"/>
  <c r="BG24"/>
  <c r="BH24"/>
  <c r="M25"/>
  <c r="Q25"/>
  <c r="BC25"/>
  <c r="BH25"/>
  <c r="F26"/>
  <c r="M26"/>
  <c r="Q26"/>
  <c r="BF26" s="1"/>
  <c r="BC26"/>
  <c r="BH26"/>
  <c r="L7" l="1"/>
  <c r="M7" s="1"/>
  <c r="N7" s="1"/>
  <c r="F15" i="4"/>
  <c r="J15"/>
  <c r="N15"/>
  <c r="BS24" i="1"/>
  <c r="BV24" s="1"/>
  <c r="BS26"/>
  <c r="BV26" s="1"/>
  <c r="BS25"/>
  <c r="BV25" s="1"/>
  <c r="BS23"/>
  <c r="BV23" s="1"/>
  <c r="BS34"/>
  <c r="BV34" s="1"/>
  <c r="N49" i="4" s="1"/>
  <c r="BF19" i="1"/>
  <c r="BV33"/>
  <c r="M49" i="4" s="1"/>
  <c r="BS32" i="1"/>
  <c r="BV32" s="1"/>
  <c r="L49" i="4" s="1"/>
  <c r="BF16" i="1"/>
  <c r="BH14"/>
  <c r="BF13"/>
  <c r="BS29"/>
  <c r="BS28"/>
  <c r="BS30"/>
  <c r="BF14"/>
  <c r="BF25"/>
  <c r="BF23"/>
  <c r="BF15"/>
  <c r="BV31"/>
  <c r="K49" i="4" s="1"/>
  <c r="BU27" i="1"/>
  <c r="BU30"/>
  <c r="BU28"/>
  <c r="BU29"/>
  <c r="BS27"/>
  <c r="BV27" s="1"/>
  <c r="O7" l="1"/>
  <c r="C16" i="4"/>
  <c r="E16"/>
  <c r="D16"/>
  <c r="F16"/>
  <c r="G16"/>
  <c r="H16"/>
  <c r="I16"/>
  <c r="J16"/>
  <c r="K16"/>
  <c r="L16"/>
  <c r="M16"/>
  <c r="N16"/>
  <c r="G15"/>
  <c r="L15"/>
  <c r="H15"/>
  <c r="C15"/>
  <c r="K15"/>
  <c r="D15"/>
  <c r="M15"/>
  <c r="I15"/>
  <c r="E15"/>
  <c r="BV30" i="1"/>
  <c r="BV28"/>
  <c r="BV29"/>
  <c r="P7" l="1"/>
  <c r="C17" i="4"/>
  <c r="D17"/>
  <c r="E17"/>
  <c r="F17"/>
  <c r="G17"/>
  <c r="H17"/>
  <c r="I17"/>
  <c r="J17"/>
  <c r="K17"/>
  <c r="L17"/>
  <c r="M17"/>
  <c r="N17"/>
  <c r="BI11" i="1"/>
  <c r="BB11" s="1"/>
  <c r="BA11" s="1"/>
  <c r="BI10"/>
  <c r="BB10" s="1"/>
  <c r="BA10" s="1"/>
  <c r="Q7" l="1"/>
  <c r="R7" s="1"/>
  <c r="C22" i="4"/>
  <c r="C18" s="1"/>
  <c r="F18"/>
  <c r="G18"/>
  <c r="J18"/>
  <c r="L18"/>
  <c r="H18"/>
  <c r="D18"/>
  <c r="M18"/>
  <c r="I18"/>
  <c r="E18"/>
  <c r="BI13" i="1"/>
  <c r="BB13" s="1"/>
  <c r="BA13" s="1"/>
  <c r="BI12"/>
  <c r="BB12" s="1"/>
  <c r="BA12" s="1"/>
  <c r="S7" l="1"/>
  <c r="C23" i="4"/>
  <c r="K18"/>
  <c r="N18"/>
  <c r="BI15" i="1"/>
  <c r="BB15" s="1"/>
  <c r="BA15" s="1"/>
  <c r="BI14"/>
  <c r="BB14" s="1"/>
  <c r="BA14" s="1"/>
  <c r="T7" l="1"/>
  <c r="BI17"/>
  <c r="BB17" s="1"/>
  <c r="BA17" s="1"/>
  <c r="BI16"/>
  <c r="BB16" s="1"/>
  <c r="BA16" s="1"/>
  <c r="U7" l="1"/>
  <c r="BI19"/>
  <c r="BB19" s="1"/>
  <c r="BA19" s="1"/>
  <c r="BI18"/>
  <c r="BB18" s="1"/>
  <c r="BA18" s="1"/>
  <c r="V7" l="1"/>
  <c r="C24" i="4"/>
  <c r="BI21" i="1"/>
  <c r="BB21" s="1"/>
  <c r="BA21" s="1"/>
  <c r="BI20"/>
  <c r="BB20" s="1"/>
  <c r="BA20" s="1"/>
  <c r="W7" l="1"/>
  <c r="X7" s="1"/>
  <c r="Y7" s="1"/>
  <c r="Z7" s="1"/>
  <c r="C25" i="4"/>
  <c r="BI22" i="1"/>
  <c r="BB22" s="1"/>
  <c r="BA22" s="1"/>
  <c r="BI23"/>
  <c r="BB23" s="1"/>
  <c r="BA23" s="1"/>
  <c r="AA7" l="1"/>
  <c r="BI25"/>
  <c r="BB25" s="1"/>
  <c r="BA25" s="1"/>
  <c r="BI24"/>
  <c r="BB24" s="1"/>
  <c r="BA24" s="1"/>
  <c r="AB7" l="1"/>
  <c r="J30" i="4" s="1"/>
  <c r="K30"/>
  <c r="H30"/>
  <c r="E30"/>
  <c r="BI27" i="1"/>
  <c r="BB27" s="1"/>
  <c r="BA27" s="1"/>
  <c r="BI29" s="1"/>
  <c r="BB29" s="1"/>
  <c r="BA29" s="1"/>
  <c r="BI31" s="1"/>
  <c r="BB31" s="1"/>
  <c r="BA31" s="1"/>
  <c r="BI33" s="1"/>
  <c r="BB33" s="1"/>
  <c r="BA33" s="1"/>
  <c r="BI26"/>
  <c r="BB26" s="1"/>
  <c r="BA26" s="1"/>
  <c r="BI28" s="1"/>
  <c r="BB28" s="1"/>
  <c r="BA28" s="1"/>
  <c r="BI30" s="1"/>
  <c r="BB30" s="1"/>
  <c r="BA30" s="1"/>
  <c r="BI32" s="1"/>
  <c r="BB32" s="1"/>
  <c r="BA32" s="1"/>
  <c r="BI34" s="1"/>
  <c r="BB34" s="1"/>
  <c r="BA34" s="1"/>
  <c r="D30" i="4" l="1"/>
  <c r="M30"/>
  <c r="C30"/>
  <c r="AC7" i="1"/>
  <c r="G30" i="4"/>
  <c r="N30"/>
  <c r="I30"/>
  <c r="L30"/>
  <c r="F30"/>
  <c r="AD7" i="1" l="1"/>
  <c r="K31" i="4"/>
  <c r="H31"/>
  <c r="E31"/>
  <c r="L29"/>
  <c r="L32" s="1"/>
  <c r="M29"/>
  <c r="M32" s="1"/>
  <c r="AE7" i="1" l="1"/>
  <c r="H29" i="4"/>
  <c r="H32" s="1"/>
  <c r="H33" s="1"/>
  <c r="D29"/>
  <c r="D32" s="1"/>
  <c r="C29"/>
  <c r="C32" s="1"/>
  <c r="G29"/>
  <c r="G32" s="1"/>
  <c r="F29"/>
  <c r="F32" s="1"/>
  <c r="I29"/>
  <c r="I32" s="1"/>
  <c r="E29"/>
  <c r="E32" s="1"/>
  <c r="E33" s="1"/>
  <c r="K29"/>
  <c r="K32" s="1"/>
  <c r="K33" s="1"/>
  <c r="D31"/>
  <c r="N31"/>
  <c r="J29"/>
  <c r="J32" s="1"/>
  <c r="M31"/>
  <c r="M33" s="1"/>
  <c r="C31"/>
  <c r="J31"/>
  <c r="G31"/>
  <c r="N29"/>
  <c r="N32" s="1"/>
  <c r="I31"/>
  <c r="L31"/>
  <c r="L33" s="1"/>
  <c r="F31"/>
  <c r="N33" l="1"/>
  <c r="G33"/>
  <c r="J33"/>
  <c r="AF7" i="1"/>
  <c r="AG7" s="1"/>
  <c r="L26" i="4"/>
  <c r="M26"/>
  <c r="G26"/>
  <c r="F26"/>
  <c r="D26"/>
  <c r="E26"/>
  <c r="N26"/>
  <c r="K26"/>
  <c r="J26"/>
  <c r="I26"/>
  <c r="C21"/>
  <c r="C26" s="1"/>
  <c r="H26"/>
  <c r="F33"/>
  <c r="I33"/>
  <c r="D33"/>
  <c r="C33"/>
  <c r="AH7" i="1" l="1"/>
  <c r="AI7" s="1"/>
  <c r="AJ7" s="1"/>
  <c r="AK7" s="1"/>
  <c r="H40" i="4"/>
  <c r="I40"/>
  <c r="F40"/>
  <c r="AL7" i="1" l="1"/>
  <c r="AM7" s="1"/>
  <c r="AN7" s="1"/>
  <c r="AO7" s="1"/>
  <c r="E40" i="4"/>
  <c r="K40"/>
  <c r="N40"/>
  <c r="C40"/>
  <c r="G40"/>
  <c r="D40"/>
  <c r="J40"/>
  <c r="M40"/>
  <c r="L40"/>
  <c r="AP7" i="1" l="1"/>
  <c r="M42" i="4"/>
  <c r="I42"/>
  <c r="E42"/>
  <c r="N42"/>
  <c r="J42"/>
  <c r="F42"/>
  <c r="K42"/>
  <c r="G42"/>
  <c r="L42"/>
  <c r="H42"/>
  <c r="D42"/>
  <c r="C42"/>
  <c r="L41"/>
  <c r="E41"/>
  <c r="I41"/>
  <c r="K41"/>
  <c r="AQ7" i="1" l="1"/>
  <c r="AR7" s="1"/>
  <c r="AS7" s="1"/>
  <c r="AT7" s="1"/>
  <c r="N43" i="4"/>
  <c r="J43"/>
  <c r="F43"/>
  <c r="C43"/>
  <c r="K43"/>
  <c r="K44" s="1"/>
  <c r="G43"/>
  <c r="L43"/>
  <c r="L44" s="1"/>
  <c r="H43"/>
  <c r="D43"/>
  <c r="M43"/>
  <c r="I43"/>
  <c r="I44" s="1"/>
  <c r="E43"/>
  <c r="E44" s="1"/>
  <c r="M41"/>
  <c r="M44" s="1"/>
  <c r="J41"/>
  <c r="J44" s="1"/>
  <c r="G41"/>
  <c r="N41"/>
  <c r="D41"/>
  <c r="D44" s="1"/>
  <c r="H41"/>
  <c r="C41"/>
  <c r="F41"/>
  <c r="C44" l="1"/>
  <c r="H44"/>
  <c r="H50" s="1"/>
  <c r="H51" s="1"/>
  <c r="H53" s="1"/>
  <c r="H5" s="1"/>
  <c r="J58" s="1"/>
  <c r="J60" s="1"/>
  <c r="I50"/>
  <c r="I51" s="1"/>
  <c r="I53" s="1"/>
  <c r="L50"/>
  <c r="L51" s="1"/>
  <c r="L53" s="1"/>
  <c r="E50"/>
  <c r="E51" s="1"/>
  <c r="E53" s="1"/>
  <c r="E5" s="1"/>
  <c r="G58" s="1"/>
  <c r="G60" s="1"/>
  <c r="D50"/>
  <c r="D51" s="1"/>
  <c r="D53" s="1"/>
  <c r="M50"/>
  <c r="M51" s="1"/>
  <c r="M53" s="1"/>
  <c r="M64" s="1"/>
  <c r="K50"/>
  <c r="K51" s="1"/>
  <c r="K53" s="1"/>
  <c r="J50"/>
  <c r="J51" s="1"/>
  <c r="J53" s="1"/>
  <c r="F44"/>
  <c r="G44"/>
  <c r="AU7" i="1"/>
  <c r="N44" i="4"/>
  <c r="I5" l="1"/>
  <c r="K58" s="1"/>
  <c r="K60" s="1"/>
  <c r="I64"/>
  <c r="M65"/>
  <c r="M66" s="1"/>
  <c r="E64"/>
  <c r="I65"/>
  <c r="I66" s="1"/>
  <c r="L64"/>
  <c r="L5"/>
  <c r="N58" s="1"/>
  <c r="N60" s="1"/>
  <c r="K64"/>
  <c r="K5"/>
  <c r="M58" s="1"/>
  <c r="M60" s="1"/>
  <c r="D5"/>
  <c r="F58" s="1"/>
  <c r="F60" s="1"/>
  <c r="D64"/>
  <c r="J64"/>
  <c r="J5"/>
  <c r="L58" s="1"/>
  <c r="L60" s="1"/>
  <c r="G50"/>
  <c r="G51" s="1"/>
  <c r="G53" s="1"/>
  <c r="G64" s="1"/>
  <c r="N50"/>
  <c r="N51" s="1"/>
  <c r="N53" s="1"/>
  <c r="M5"/>
  <c r="H64"/>
  <c r="F50"/>
  <c r="F51" s="1"/>
  <c r="F53" s="1"/>
  <c r="AV7" i="1"/>
  <c r="C47" i="4"/>
  <c r="N5" l="1"/>
  <c r="N64"/>
  <c r="H65"/>
  <c r="H66" s="1"/>
  <c r="D65"/>
  <c r="D66" s="1"/>
  <c r="D67" s="1"/>
  <c r="D35" s="1"/>
  <c r="D37" s="1"/>
  <c r="D4" s="1"/>
  <c r="D7" s="1"/>
  <c r="D9" s="1"/>
  <c r="F55" s="1"/>
  <c r="E65"/>
  <c r="E66" s="1"/>
  <c r="G65"/>
  <c r="G66" s="1"/>
  <c r="L65"/>
  <c r="L66" s="1"/>
  <c r="J65"/>
  <c r="J66" s="1"/>
  <c r="K65"/>
  <c r="K66" s="1"/>
  <c r="F5"/>
  <c r="H58" s="1"/>
  <c r="H60" s="1"/>
  <c r="F64"/>
  <c r="G5"/>
  <c r="I58" s="1"/>
  <c r="I60" s="1"/>
  <c r="AW7" i="1"/>
  <c r="AX7" s="1"/>
  <c r="AY7" s="1"/>
  <c r="AZ7" s="1"/>
  <c r="BA7" s="1"/>
  <c r="BB7" s="1"/>
  <c r="BC7" s="1"/>
  <c r="BD7" s="1"/>
  <c r="BE7" s="1"/>
  <c r="BF7" s="1"/>
  <c r="BG7" s="1"/>
  <c r="BH7" s="1"/>
  <c r="BI7" s="1"/>
  <c r="BJ7" s="1"/>
  <c r="BK7" s="1"/>
  <c r="BL7" s="1"/>
  <c r="BM7" s="1"/>
  <c r="BN7" s="1"/>
  <c r="BO7" s="1"/>
  <c r="BP7" s="1"/>
  <c r="BQ7" s="1"/>
  <c r="BR7" s="1"/>
  <c r="BS7" s="1"/>
  <c r="BT7" s="1"/>
  <c r="BU7" s="1"/>
  <c r="BV7" s="1"/>
  <c r="N65" i="4" l="1"/>
  <c r="N66" s="1"/>
  <c r="F65"/>
  <c r="F66" s="1"/>
  <c r="F57"/>
  <c r="F62"/>
  <c r="C48"/>
  <c r="C46"/>
  <c r="C50" l="1"/>
  <c r="C51" s="1"/>
  <c r="C53" s="1"/>
  <c r="C64" s="1"/>
  <c r="F63"/>
  <c r="F67" s="1"/>
  <c r="F35" s="1"/>
  <c r="F37" s="1"/>
  <c r="F4" s="1"/>
  <c r="F7" s="1"/>
  <c r="F9" s="1"/>
  <c r="H55" s="1"/>
  <c r="C65" l="1"/>
  <c r="C66" s="1"/>
  <c r="C67" s="1"/>
  <c r="C35" s="1"/>
  <c r="C37" s="1"/>
  <c r="C4" s="1"/>
  <c r="C5"/>
  <c r="E58" s="1"/>
  <c r="E60" s="1"/>
  <c r="H57"/>
  <c r="H62"/>
  <c r="C7" l="1"/>
  <c r="C9" s="1"/>
  <c r="E55" s="1"/>
  <c r="E57" s="1"/>
  <c r="H63"/>
  <c r="H67" s="1"/>
  <c r="H35" s="1"/>
  <c r="H37" s="1"/>
  <c r="H4" s="1"/>
  <c r="H7" s="1"/>
  <c r="H9" s="1"/>
  <c r="J55" s="1"/>
  <c r="E62" l="1"/>
  <c r="E63" s="1"/>
  <c r="E67" s="1"/>
  <c r="E35" s="1"/>
  <c r="E37" s="1"/>
  <c r="E4" s="1"/>
  <c r="E7" s="1"/>
  <c r="E9" s="1"/>
  <c r="G55" s="1"/>
  <c r="G62" s="1"/>
  <c r="J57"/>
  <c r="J62"/>
  <c r="G57" l="1"/>
  <c r="G63" s="1"/>
  <c r="G67" s="1"/>
  <c r="G35" s="1"/>
  <c r="G37" s="1"/>
  <c r="G4" s="1"/>
  <c r="G7" s="1"/>
  <c r="G9" s="1"/>
  <c r="I55" s="1"/>
  <c r="I57" s="1"/>
  <c r="J63"/>
  <c r="J67" s="1"/>
  <c r="J35" s="1"/>
  <c r="J37" s="1"/>
  <c r="J4" s="1"/>
  <c r="J7" s="1"/>
  <c r="J9" s="1"/>
  <c r="L55" s="1"/>
  <c r="I62" l="1"/>
  <c r="I63" s="1"/>
  <c r="I67" s="1"/>
  <c r="I35" s="1"/>
  <c r="I37" s="1"/>
  <c r="I4" s="1"/>
  <c r="I7" s="1"/>
  <c r="I9" s="1"/>
  <c r="K55" s="1"/>
  <c r="K62" s="1"/>
  <c r="L62"/>
  <c r="L57"/>
  <c r="K57" l="1"/>
  <c r="K63" s="1"/>
  <c r="K67" s="1"/>
  <c r="K35" s="1"/>
  <c r="K37" s="1"/>
  <c r="K4" s="1"/>
  <c r="K7" s="1"/>
  <c r="K9" s="1"/>
  <c r="M55" s="1"/>
  <c r="M62" s="1"/>
  <c r="L63"/>
  <c r="L67" s="1"/>
  <c r="L35" s="1"/>
  <c r="L37" s="1"/>
  <c r="L4" s="1"/>
  <c r="L7" s="1"/>
  <c r="L9" s="1"/>
  <c r="N55" s="1"/>
  <c r="N62" s="1"/>
  <c r="M57" l="1"/>
  <c r="M63" s="1"/>
  <c r="M67" s="1"/>
  <c r="M35" s="1"/>
  <c r="M37" s="1"/>
  <c r="M4" s="1"/>
  <c r="M7" s="1"/>
  <c r="M9" s="1"/>
  <c r="N57"/>
  <c r="N63" s="1"/>
  <c r="N67" s="1"/>
  <c r="N35" s="1"/>
  <c r="N37" s="1"/>
  <c r="N4" s="1"/>
  <c r="N7" s="1"/>
  <c r="N9" s="1"/>
</calcChain>
</file>

<file path=xl/comments1.xml><?xml version="1.0" encoding="utf-8"?>
<comments xmlns="http://schemas.openxmlformats.org/spreadsheetml/2006/main">
  <authors>
    <author>Marty Reinert</author>
    <author>Mary Gillespie</author>
    <author> Brandi Sanders</author>
  </authors>
  <commentList>
    <comment ref="AX4" authorId="0">
      <text>
        <r>
          <rPr>
            <b/>
            <sz val="8"/>
            <color indexed="81"/>
            <rFont val="Tahoma"/>
            <family val="2"/>
          </rPr>
          <t>Marty Reinert: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Sales by Rates</t>
        </r>
      </text>
    </comment>
    <comment ref="AP5" authorId="0">
      <text>
        <r>
          <rPr>
            <b/>
            <sz val="8"/>
            <color indexed="81"/>
            <rFont val="Tahoma"/>
            <family val="2"/>
          </rPr>
          <t>Marty Reinert: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Same as Internal Replacement
</t>
        </r>
      </text>
    </comment>
    <comment ref="AQ5" authorId="0">
      <text>
        <r>
          <rPr>
            <b/>
            <sz val="8"/>
            <color indexed="81"/>
            <rFont val="Tahoma"/>
            <family val="2"/>
          </rPr>
          <t>Marty Reinert: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1"/>
            <color indexed="81"/>
            <rFont val="Tahoma"/>
            <family val="2"/>
          </rPr>
          <t xml:space="preserve">BACKUP PURCHASES </t>
        </r>
        <r>
          <rPr>
            <sz val="11"/>
            <color indexed="81"/>
            <rFont val="Tahoma"/>
            <family val="2"/>
          </rPr>
          <t xml:space="preserve"> COLUMN</t>
        </r>
      </text>
    </comment>
    <comment ref="AR5" authorId="0">
      <text>
        <r>
          <rPr>
            <b/>
            <sz val="8"/>
            <color indexed="81"/>
            <rFont val="Tahoma"/>
            <family val="2"/>
          </rPr>
          <t>Marty Reinert: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1"/>
            <color indexed="81"/>
            <rFont val="Tahoma"/>
            <family val="2"/>
          </rPr>
          <t xml:space="preserve">BUY THROUGH </t>
        </r>
        <r>
          <rPr>
            <sz val="11"/>
            <color indexed="81"/>
            <rFont val="Tahoma"/>
            <family val="2"/>
          </rPr>
          <t>Column</t>
        </r>
      </text>
    </comment>
    <comment ref="AU5" authorId="0">
      <text>
        <r>
          <rPr>
            <b/>
            <sz val="8"/>
            <color indexed="81"/>
            <rFont val="Tahoma"/>
            <family val="2"/>
          </rPr>
          <t>Marty Reinert: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Kwh Sales From Generation</t>
        </r>
      </text>
    </comment>
    <comment ref="AV5" authorId="0">
      <text>
        <r>
          <rPr>
            <b/>
            <sz val="8"/>
            <color indexed="81"/>
            <rFont val="Tahoma"/>
            <family val="2"/>
          </rPr>
          <t>Marty Reinert: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Same as Internal Replacement</t>
        </r>
      </text>
    </comment>
    <comment ref="AL15" authorId="1">
      <text>
        <r>
          <rPr>
            <b/>
            <sz val="8"/>
            <color indexed="81"/>
            <rFont val="Tahoma"/>
            <family val="2"/>
          </rPr>
          <t>Mary Gillespie:</t>
        </r>
        <r>
          <rPr>
            <sz val="8"/>
            <color indexed="81"/>
            <rFont val="Tahoma"/>
            <family val="2"/>
          </rPr>
          <t xml:space="preserve">
120,656 kWh - buythrough for Kosmos which did not get billed until August</t>
        </r>
      </text>
    </comment>
    <comment ref="K16" authorId="2">
      <text>
        <r>
          <rPr>
            <b/>
            <sz val="10"/>
            <color indexed="81"/>
            <rFont val="Tahoma"/>
            <family val="2"/>
          </rPr>
          <t> Brandi Sanders:</t>
        </r>
        <r>
          <rPr>
            <sz val="10"/>
            <color indexed="81"/>
            <rFont val="Tahoma"/>
            <family val="2"/>
          </rPr>
          <t xml:space="preserve">
Revised on 10/27/10 for revised report from Derek Bell.  Original number was $335,166.16.</t>
        </r>
      </text>
    </comment>
    <comment ref="BI22" authorId="1">
      <text>
        <r>
          <rPr>
            <b/>
            <sz val="9"/>
            <color indexed="81"/>
            <rFont val="Tahoma"/>
            <family val="2"/>
          </rPr>
          <t>Mary Gillespie:</t>
        </r>
        <r>
          <rPr>
            <sz val="9"/>
            <color indexed="81"/>
            <rFont val="Tahoma"/>
            <family val="2"/>
          </rPr>
          <t xml:space="preserve">
Calculation adjusted for the losses corrections filed April 19, 2011</t>
        </r>
      </text>
    </comment>
  </commentList>
</comments>
</file>

<file path=xl/sharedStrings.xml><?xml version="1.0" encoding="utf-8"?>
<sst xmlns="http://schemas.openxmlformats.org/spreadsheetml/2006/main" count="369" uniqueCount="157">
  <si>
    <t>Expense</t>
  </si>
  <si>
    <t>Assigned</t>
  </si>
  <si>
    <t>Substitute</t>
  </si>
  <si>
    <t>Economy</t>
  </si>
  <si>
    <t>Internal</t>
  </si>
  <si>
    <t>Other</t>
  </si>
  <si>
    <t>Net</t>
  </si>
  <si>
    <t>Total Monthly</t>
  </si>
  <si>
    <t>Month's Calculations</t>
  </si>
  <si>
    <t>Month</t>
  </si>
  <si>
    <t>Generation</t>
  </si>
  <si>
    <t>Cost</t>
  </si>
  <si>
    <t>Purchased Power</t>
  </si>
  <si>
    <t>Replacement</t>
  </si>
  <si>
    <t>Dollars</t>
  </si>
  <si>
    <t>KWH Sales</t>
  </si>
  <si>
    <t>Ky Retail</t>
  </si>
  <si>
    <t>"Sm"</t>
  </si>
  <si>
    <t>KWH</t>
  </si>
  <si>
    <t>151 Cost</t>
  </si>
  <si>
    <t>Split Savings</t>
  </si>
  <si>
    <t>Pre-Merger</t>
  </si>
  <si>
    <t>Mo Factor</t>
  </si>
  <si>
    <t>Petcoke</t>
  </si>
  <si>
    <t>Total</t>
  </si>
  <si>
    <t>Brown CTs</t>
  </si>
  <si>
    <t>IB</t>
  </si>
  <si>
    <t>Non-Economic</t>
  </si>
  <si>
    <t>IMEA</t>
  </si>
  <si>
    <t>Disallowed Energy</t>
  </si>
  <si>
    <t>IMPA</t>
  </si>
  <si>
    <t>Loss</t>
  </si>
  <si>
    <t>Factor</t>
  </si>
  <si>
    <t>Uses</t>
  </si>
  <si>
    <t>Non-Fuel</t>
  </si>
  <si>
    <t>Freed Up</t>
  </si>
  <si>
    <t>Buy-Thru</t>
  </si>
  <si>
    <t>Purchases</t>
  </si>
  <si>
    <t>Sales</t>
  </si>
  <si>
    <t>Purchased</t>
  </si>
  <si>
    <t>Power</t>
  </si>
  <si>
    <t>KHigdon</t>
  </si>
  <si>
    <t>Internally Generated</t>
  </si>
  <si>
    <t>Fuel</t>
  </si>
  <si>
    <t>Bud Carter</t>
  </si>
  <si>
    <t>Trimble County</t>
  </si>
  <si>
    <t>$</t>
  </si>
  <si>
    <t>Coal $</t>
  </si>
  <si>
    <t>Oil $</t>
  </si>
  <si>
    <t>Gas $</t>
  </si>
  <si>
    <t>Replacement  $</t>
  </si>
  <si>
    <t>Total  $</t>
  </si>
  <si>
    <t>Economy  $</t>
  </si>
  <si>
    <t>Trimble CTs</t>
  </si>
  <si>
    <t>Internal - KWH</t>
  </si>
  <si>
    <r>
      <t>Internal -</t>
    </r>
    <r>
      <rPr>
        <b/>
        <sz val="10"/>
        <rFont val="Arial"/>
        <family val="2"/>
      </rPr>
      <t xml:space="preserve"> KWH</t>
    </r>
  </si>
  <si>
    <t>Gas Start-up</t>
  </si>
  <si>
    <t>Forced Outage Exclusion</t>
  </si>
  <si>
    <t>Company Generation</t>
  </si>
  <si>
    <t>Over/Under</t>
  </si>
  <si>
    <t>F(m)</t>
  </si>
  <si>
    <t>Base</t>
  </si>
  <si>
    <t>Buy-Thru/ Replacement Power</t>
  </si>
  <si>
    <t>Laura Oetken - Power Transaction Report</t>
  </si>
  <si>
    <t>Laura Oetken</t>
  </si>
  <si>
    <t>HDD</t>
  </si>
  <si>
    <t>CDD</t>
  </si>
  <si>
    <t>Non-Jurisdictional</t>
  </si>
  <si>
    <t>Purchases Above Highest Cost Unit</t>
  </si>
  <si>
    <t>Purchased Power Cost</t>
  </si>
  <si>
    <t>OSS Energy Revenue</t>
  </si>
  <si>
    <t>Freed Up Generation</t>
  </si>
  <si>
    <t>IB's</t>
  </si>
  <si>
    <t>Total OSS Power</t>
  </si>
  <si>
    <t>Sales -                 Freed Up</t>
  </si>
  <si>
    <t>Fuel Cost</t>
  </si>
  <si>
    <t>Energy Sales</t>
  </si>
  <si>
    <t xml:space="preserve">       Fred Ninotti</t>
  </si>
  <si>
    <t>Revised Factor -             If Necessary</t>
  </si>
  <si>
    <t>John Bland</t>
  </si>
  <si>
    <t>Losses</t>
  </si>
  <si>
    <t>12-month losses</t>
  </si>
  <si>
    <t>Co Use</t>
  </si>
  <si>
    <t>Unbilled Sales</t>
  </si>
  <si>
    <t>Net Interchange</t>
  </si>
  <si>
    <t>CM Sources (FAC)</t>
  </si>
  <si>
    <t>Line Loss Report</t>
  </si>
  <si>
    <t>Total Purchases  from Power Transaction Report</t>
  </si>
  <si>
    <t>Interruptible Buy-through $ from Billing Integrity Memo</t>
  </si>
  <si>
    <t>Billing Integrity</t>
  </si>
  <si>
    <t>Regulatory Accounting and Reporting</t>
  </si>
  <si>
    <t>Regulatory Accounting &amp; Reporting</t>
  </si>
  <si>
    <t>Reg Acct &amp; Rptg</t>
  </si>
  <si>
    <t>Energy Imbalance, Purchases</t>
  </si>
  <si>
    <t>Energy Imbalance,Sales</t>
  </si>
  <si>
    <t>Page 1:</t>
  </si>
  <si>
    <t>Page 2</t>
  </si>
  <si>
    <t>S(m)</t>
  </si>
  <si>
    <t>Page 3</t>
  </si>
  <si>
    <t>Base Factor</t>
  </si>
  <si>
    <t>FAC Factor</t>
  </si>
  <si>
    <t>Page 2:</t>
  </si>
  <si>
    <t>Coal Burned</t>
  </si>
  <si>
    <t>Oil Burned</t>
  </si>
  <si>
    <t>Gas Burned</t>
  </si>
  <si>
    <t>Assigned Fuel</t>
  </si>
  <si>
    <t>Substitute Fuel</t>
  </si>
  <si>
    <t>Subtotal Fuel</t>
  </si>
  <si>
    <t>Substitute Purchases</t>
  </si>
  <si>
    <t>Internal Economy</t>
  </si>
  <si>
    <t>Subtotal</t>
  </si>
  <si>
    <t>Intersystem Sales</t>
  </si>
  <si>
    <t>Off-system sales</t>
  </si>
  <si>
    <t>Internal Replacement</t>
  </si>
  <si>
    <t>Cost of OSS losses</t>
  </si>
  <si>
    <t>Over/(Under) Recovery - Pg 5</t>
  </si>
  <si>
    <t>Fuel Cost Adjustment</t>
  </si>
  <si>
    <t>Total Fuel Cost</t>
  </si>
  <si>
    <t>Page 3:</t>
  </si>
  <si>
    <t>Net Generation</t>
  </si>
  <si>
    <t>Purchases+Interchange</t>
  </si>
  <si>
    <t>Total Sales</t>
  </si>
  <si>
    <t>Last FAC Rate Billed</t>
  </si>
  <si>
    <t>KWH Billed</t>
  </si>
  <si>
    <t>FAC Revenue (Refund)</t>
  </si>
  <si>
    <t>S(m), last FAC Rate</t>
  </si>
  <si>
    <t>Non-juris. Included</t>
  </si>
  <si>
    <t>Kentucky Jurisdiction</t>
  </si>
  <si>
    <t>Revised FAC Factor</t>
  </si>
  <si>
    <t>Recoverable FAC cost</t>
  </si>
  <si>
    <t>O/U -- retail</t>
  </si>
  <si>
    <t>S(m), current month</t>
  </si>
  <si>
    <t>Gross-up Factor</t>
  </si>
  <si>
    <t>O/U, total company</t>
  </si>
  <si>
    <t>System Loss Percentage</t>
  </si>
  <si>
    <t>TC Test OSS</t>
  </si>
  <si>
    <t>System Losses</t>
  </si>
  <si>
    <t>Proposed Modification</t>
  </si>
  <si>
    <t>As Filed</t>
  </si>
  <si>
    <t>Change</t>
  </si>
  <si>
    <t>Revenue</t>
  </si>
  <si>
    <t>Form A</t>
  </si>
  <si>
    <t>Form A*</t>
  </si>
  <si>
    <t>Line 3</t>
  </si>
  <si>
    <t>Adjustment</t>
  </si>
  <si>
    <t xml:space="preserve">* NOTE : Expenses are recovered in the second succeeding month. For example, </t>
  </si>
  <si>
    <t xml:space="preserve">                 January 2012 would be reflected in March 2012.</t>
  </si>
  <si>
    <t>LOUISVILLE GAS AND ELECTRIC</t>
  </si>
  <si>
    <t>To Adjust for Proposed Midification in the Calcualtion of the Fuel Adjustment Clause</t>
  </si>
  <si>
    <t>Page 4:</t>
  </si>
  <si>
    <t>Line 8</t>
  </si>
  <si>
    <t>L.3</t>
  </si>
  <si>
    <t>L.8</t>
  </si>
  <si>
    <t>Page 4 of 5</t>
  </si>
  <si>
    <t>Line 3**</t>
  </si>
  <si>
    <t>Line 8**</t>
  </si>
  <si>
    <t>** See Blake Exhibit 1, Reference Schedule 1.01 To Adjust Mismatch in Fuel Cost Recovery</t>
  </si>
</sst>
</file>

<file path=xl/styles.xml><?xml version="1.0" encoding="utf-8"?>
<styleSheet xmlns="http://schemas.openxmlformats.org/spreadsheetml/2006/main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0.00000"/>
    <numFmt numFmtId="168" formatCode="_(&quot;$&quot;* #,##0_);_(&quot;$&quot;* \(#,##0\);_(&quot;$&quot;* &quot;-&quot;??_);_(@_)"/>
    <numFmt numFmtId="169" formatCode="_(&quot;$&quot;* #,##0.00000_);_(&quot;$&quot;* \(#,##0.00000\);_(&quot;$&quot;* &quot;-&quot;??_);_(@_)"/>
    <numFmt numFmtId="170" formatCode="[$-409]mmm\-yy;@"/>
    <numFmt numFmtId="171" formatCode="[$-409]mmmm\-yy;@"/>
    <numFmt numFmtId="172" formatCode="0\ 00\ 000\ 000"/>
    <numFmt numFmtId="173" formatCode="&quot;$&quot;#,##0\ ;\(&quot;$&quot;#,##0\)"/>
    <numFmt numFmtId="174" formatCode="_([$€-2]* #,##0.00_);_([$€-2]* \(#,##0.00\);_([$€-2]* &quot;-&quot;??_)"/>
    <numFmt numFmtId="175" formatCode="0.00000000000000000"/>
  </numFmts>
  <fonts count="92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name val="Times New Roman"/>
      <family val="1"/>
    </font>
    <font>
      <u val="singleAccounting"/>
      <sz val="10"/>
      <name val="Times New Roman"/>
      <family val="1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sz val="11"/>
      <color rgb="FF9C0006"/>
      <name val="Calibri"/>
      <family val="2"/>
      <scheme val="minor"/>
    </font>
    <font>
      <sz val="10"/>
      <name val="Helv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b/>
      <sz val="11"/>
      <color theme="0"/>
      <name val="Calibri"/>
      <family val="2"/>
      <scheme val="minor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i/>
      <sz val="11"/>
      <color rgb="FF7F7F7F"/>
      <name val="Calibri"/>
      <family val="2"/>
      <scheme val="minor"/>
    </font>
    <font>
      <b/>
      <sz val="14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1"/>
      <color rgb="FF3F3F76"/>
      <name val="Calibri"/>
      <family val="2"/>
      <scheme val="minor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rgb="FF9C6500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b/>
      <sz val="11"/>
      <color rgb="FF3F3F3F"/>
      <name val="Calibri"/>
      <family val="2"/>
      <scheme val="minor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sz val="8"/>
      <color indexed="8"/>
      <name val="Wingdings"/>
      <charset val="2"/>
    </font>
    <font>
      <sz val="11"/>
      <color indexed="10"/>
      <name val="Calibri"/>
      <family val="2"/>
    </font>
    <font>
      <sz val="11"/>
      <color rgb="FFFF0000"/>
      <name val="Times New Roman"/>
      <family val="2"/>
    </font>
    <font>
      <sz val="11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</fonts>
  <fills count="7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17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09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35" borderId="0"/>
    <xf numFmtId="0" fontId="1" fillId="35" borderId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170" fontId="21" fillId="12" borderId="0" applyNumberFormat="0" applyBorder="0" applyAlignment="0" applyProtection="0"/>
    <xf numFmtId="170" fontId="21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171" fontId="20" fillId="36" borderId="0" applyNumberFormat="0" applyBorder="0" applyAlignment="0" applyProtection="0"/>
    <xf numFmtId="171" fontId="20" fillId="36" borderId="0" applyNumberFormat="0" applyBorder="0" applyAlignment="0" applyProtection="0"/>
    <xf numFmtId="171" fontId="20" fillId="36" borderId="0" applyNumberFormat="0" applyBorder="0" applyAlignment="0" applyProtection="0"/>
    <xf numFmtId="171" fontId="20" fillId="36" borderId="0" applyNumberFormat="0" applyBorder="0" applyAlignment="0" applyProtection="0"/>
    <xf numFmtId="171" fontId="20" fillId="36" borderId="0" applyNumberFormat="0" applyBorder="0" applyAlignment="0" applyProtection="0"/>
    <xf numFmtId="171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171" fontId="20" fillId="37" borderId="0" applyNumberFormat="0" applyBorder="0" applyAlignment="0" applyProtection="0"/>
    <xf numFmtId="171" fontId="20" fillId="37" borderId="0" applyNumberFormat="0" applyBorder="0" applyAlignment="0" applyProtection="0"/>
    <xf numFmtId="171" fontId="20" fillId="37" borderId="0" applyNumberFormat="0" applyBorder="0" applyAlignment="0" applyProtection="0"/>
    <xf numFmtId="171" fontId="20" fillId="37" borderId="0" applyNumberFormat="0" applyBorder="0" applyAlignment="0" applyProtection="0"/>
    <xf numFmtId="171" fontId="20" fillId="37" borderId="0" applyNumberFormat="0" applyBorder="0" applyAlignment="0" applyProtection="0"/>
    <xf numFmtId="171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170" fontId="21" fillId="20" borderId="0" applyNumberFormat="0" applyBorder="0" applyAlignment="0" applyProtection="0"/>
    <xf numFmtId="170" fontId="21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171" fontId="20" fillId="38" borderId="0" applyNumberFormat="0" applyBorder="0" applyAlignment="0" applyProtection="0"/>
    <xf numFmtId="171" fontId="20" fillId="38" borderId="0" applyNumberFormat="0" applyBorder="0" applyAlignment="0" applyProtection="0"/>
    <xf numFmtId="171" fontId="20" fillId="38" borderId="0" applyNumberFormat="0" applyBorder="0" applyAlignment="0" applyProtection="0"/>
    <xf numFmtId="171" fontId="20" fillId="38" borderId="0" applyNumberFormat="0" applyBorder="0" applyAlignment="0" applyProtection="0"/>
    <xf numFmtId="171" fontId="20" fillId="38" borderId="0" applyNumberFormat="0" applyBorder="0" applyAlignment="0" applyProtection="0"/>
    <xf numFmtId="171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170" fontId="21" fillId="24" borderId="0" applyNumberFormat="0" applyBorder="0" applyAlignment="0" applyProtection="0"/>
    <xf numFmtId="170" fontId="21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171" fontId="20" fillId="39" borderId="0" applyNumberFormat="0" applyBorder="0" applyAlignment="0" applyProtection="0"/>
    <xf numFmtId="171" fontId="20" fillId="39" borderId="0" applyNumberFormat="0" applyBorder="0" applyAlignment="0" applyProtection="0"/>
    <xf numFmtId="171" fontId="20" fillId="39" borderId="0" applyNumberFormat="0" applyBorder="0" applyAlignment="0" applyProtection="0"/>
    <xf numFmtId="171" fontId="20" fillId="39" borderId="0" applyNumberFormat="0" applyBorder="0" applyAlignment="0" applyProtection="0"/>
    <xf numFmtId="171" fontId="20" fillId="39" borderId="0" applyNumberFormat="0" applyBorder="0" applyAlignment="0" applyProtection="0"/>
    <xf numFmtId="171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170" fontId="21" fillId="28" borderId="0" applyNumberFormat="0" applyBorder="0" applyAlignment="0" applyProtection="0"/>
    <xf numFmtId="170" fontId="21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171" fontId="20" fillId="40" borderId="0" applyNumberFormat="0" applyBorder="0" applyAlignment="0" applyProtection="0"/>
    <xf numFmtId="171" fontId="20" fillId="40" borderId="0" applyNumberFormat="0" applyBorder="0" applyAlignment="0" applyProtection="0"/>
    <xf numFmtId="171" fontId="20" fillId="40" borderId="0" applyNumberFormat="0" applyBorder="0" applyAlignment="0" applyProtection="0"/>
    <xf numFmtId="171" fontId="20" fillId="40" borderId="0" applyNumberFormat="0" applyBorder="0" applyAlignment="0" applyProtection="0"/>
    <xf numFmtId="171" fontId="20" fillId="40" borderId="0" applyNumberFormat="0" applyBorder="0" applyAlignment="0" applyProtection="0"/>
    <xf numFmtId="171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170" fontId="21" fillId="32" borderId="0" applyNumberFormat="0" applyBorder="0" applyAlignment="0" applyProtection="0"/>
    <xf numFmtId="170" fontId="21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171" fontId="20" fillId="41" borderId="0" applyNumberFormat="0" applyBorder="0" applyAlignment="0" applyProtection="0"/>
    <xf numFmtId="171" fontId="20" fillId="41" borderId="0" applyNumberFormat="0" applyBorder="0" applyAlignment="0" applyProtection="0"/>
    <xf numFmtId="171" fontId="20" fillId="41" borderId="0" applyNumberFormat="0" applyBorder="0" applyAlignment="0" applyProtection="0"/>
    <xf numFmtId="171" fontId="20" fillId="41" borderId="0" applyNumberFormat="0" applyBorder="0" applyAlignment="0" applyProtection="0"/>
    <xf numFmtId="171" fontId="20" fillId="41" borderId="0" applyNumberFormat="0" applyBorder="0" applyAlignment="0" applyProtection="0"/>
    <xf numFmtId="171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170" fontId="21" fillId="13" borderId="0" applyNumberFormat="0" applyBorder="0" applyAlignment="0" applyProtection="0"/>
    <xf numFmtId="170" fontId="21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171" fontId="20" fillId="42" borderId="0" applyNumberFormat="0" applyBorder="0" applyAlignment="0" applyProtection="0"/>
    <xf numFmtId="171" fontId="20" fillId="42" borderId="0" applyNumberFormat="0" applyBorder="0" applyAlignment="0" applyProtection="0"/>
    <xf numFmtId="171" fontId="20" fillId="42" borderId="0" applyNumberFormat="0" applyBorder="0" applyAlignment="0" applyProtection="0"/>
    <xf numFmtId="171" fontId="20" fillId="42" borderId="0" applyNumberFormat="0" applyBorder="0" applyAlignment="0" applyProtection="0"/>
    <xf numFmtId="171" fontId="20" fillId="42" borderId="0" applyNumberFormat="0" applyBorder="0" applyAlignment="0" applyProtection="0"/>
    <xf numFmtId="171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171" fontId="20" fillId="43" borderId="0" applyNumberFormat="0" applyBorder="0" applyAlignment="0" applyProtection="0"/>
    <xf numFmtId="171" fontId="20" fillId="43" borderId="0" applyNumberFormat="0" applyBorder="0" applyAlignment="0" applyProtection="0"/>
    <xf numFmtId="171" fontId="20" fillId="43" borderId="0" applyNumberFormat="0" applyBorder="0" applyAlignment="0" applyProtection="0"/>
    <xf numFmtId="171" fontId="20" fillId="43" borderId="0" applyNumberFormat="0" applyBorder="0" applyAlignment="0" applyProtection="0"/>
    <xf numFmtId="171" fontId="20" fillId="43" borderId="0" applyNumberFormat="0" applyBorder="0" applyAlignment="0" applyProtection="0"/>
    <xf numFmtId="171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170" fontId="21" fillId="21" borderId="0" applyNumberFormat="0" applyBorder="0" applyAlignment="0" applyProtection="0"/>
    <xf numFmtId="170" fontId="21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171" fontId="20" fillId="44" borderId="0" applyNumberFormat="0" applyBorder="0" applyAlignment="0" applyProtection="0"/>
    <xf numFmtId="171" fontId="20" fillId="44" borderId="0" applyNumberFormat="0" applyBorder="0" applyAlignment="0" applyProtection="0"/>
    <xf numFmtId="171" fontId="20" fillId="44" borderId="0" applyNumberFormat="0" applyBorder="0" applyAlignment="0" applyProtection="0"/>
    <xf numFmtId="171" fontId="20" fillId="44" borderId="0" applyNumberFormat="0" applyBorder="0" applyAlignment="0" applyProtection="0"/>
    <xf numFmtId="171" fontId="20" fillId="44" borderId="0" applyNumberFormat="0" applyBorder="0" applyAlignment="0" applyProtection="0"/>
    <xf numFmtId="171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170" fontId="21" fillId="25" borderId="0" applyNumberFormat="0" applyBorder="0" applyAlignment="0" applyProtection="0"/>
    <xf numFmtId="170" fontId="21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171" fontId="20" fillId="39" borderId="0" applyNumberFormat="0" applyBorder="0" applyAlignment="0" applyProtection="0"/>
    <xf numFmtId="171" fontId="20" fillId="39" borderId="0" applyNumberFormat="0" applyBorder="0" applyAlignment="0" applyProtection="0"/>
    <xf numFmtId="171" fontId="20" fillId="39" borderId="0" applyNumberFormat="0" applyBorder="0" applyAlignment="0" applyProtection="0"/>
    <xf numFmtId="171" fontId="20" fillId="39" borderId="0" applyNumberFormat="0" applyBorder="0" applyAlignment="0" applyProtection="0"/>
    <xf numFmtId="171" fontId="20" fillId="39" borderId="0" applyNumberFormat="0" applyBorder="0" applyAlignment="0" applyProtection="0"/>
    <xf numFmtId="171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170" fontId="21" fillId="29" borderId="0" applyNumberFormat="0" applyBorder="0" applyAlignment="0" applyProtection="0"/>
    <xf numFmtId="170" fontId="21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171" fontId="20" fillId="42" borderId="0" applyNumberFormat="0" applyBorder="0" applyAlignment="0" applyProtection="0"/>
    <xf numFmtId="171" fontId="20" fillId="42" borderId="0" applyNumberFormat="0" applyBorder="0" applyAlignment="0" applyProtection="0"/>
    <xf numFmtId="171" fontId="20" fillId="42" borderId="0" applyNumberFormat="0" applyBorder="0" applyAlignment="0" applyProtection="0"/>
    <xf numFmtId="171" fontId="20" fillId="42" borderId="0" applyNumberFormat="0" applyBorder="0" applyAlignment="0" applyProtection="0"/>
    <xf numFmtId="171" fontId="20" fillId="42" borderId="0" applyNumberFormat="0" applyBorder="0" applyAlignment="0" applyProtection="0"/>
    <xf numFmtId="171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170" fontId="21" fillId="33" borderId="0" applyNumberFormat="0" applyBorder="0" applyAlignment="0" applyProtection="0"/>
    <xf numFmtId="170" fontId="21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171" fontId="20" fillId="45" borderId="0" applyNumberFormat="0" applyBorder="0" applyAlignment="0" applyProtection="0"/>
    <xf numFmtId="171" fontId="20" fillId="45" borderId="0" applyNumberFormat="0" applyBorder="0" applyAlignment="0" applyProtection="0"/>
    <xf numFmtId="171" fontId="20" fillId="45" borderId="0" applyNumberFormat="0" applyBorder="0" applyAlignment="0" applyProtection="0"/>
    <xf numFmtId="171" fontId="20" fillId="45" borderId="0" applyNumberFormat="0" applyBorder="0" applyAlignment="0" applyProtection="0"/>
    <xf numFmtId="171" fontId="20" fillId="45" borderId="0" applyNumberFormat="0" applyBorder="0" applyAlignment="0" applyProtection="0"/>
    <xf numFmtId="171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170" fontId="24" fillId="14" borderId="0" applyNumberFormat="0" applyBorder="0" applyAlignment="0" applyProtection="0"/>
    <xf numFmtId="170" fontId="24" fillId="14" borderId="0" applyNumberFormat="0" applyBorder="0" applyAlignment="0" applyProtection="0"/>
    <xf numFmtId="0" fontId="25" fillId="14" borderId="0" applyNumberFormat="0" applyBorder="0" applyAlignment="0" applyProtection="0"/>
    <xf numFmtId="171" fontId="23" fillId="46" borderId="0" applyNumberFormat="0" applyBorder="0" applyAlignment="0" applyProtection="0"/>
    <xf numFmtId="171" fontId="23" fillId="46" borderId="0" applyNumberFormat="0" applyBorder="0" applyAlignment="0" applyProtection="0"/>
    <xf numFmtId="171" fontId="23" fillId="46" borderId="0" applyNumberFormat="0" applyBorder="0" applyAlignment="0" applyProtection="0"/>
    <xf numFmtId="171" fontId="23" fillId="46" borderId="0" applyNumberFormat="0" applyBorder="0" applyAlignment="0" applyProtection="0"/>
    <xf numFmtId="171" fontId="23" fillId="46" borderId="0" applyNumberFormat="0" applyBorder="0" applyAlignment="0" applyProtection="0"/>
    <xf numFmtId="171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170" fontId="24" fillId="18" borderId="0" applyNumberFormat="0" applyBorder="0" applyAlignment="0" applyProtection="0"/>
    <xf numFmtId="170" fontId="24" fillId="18" borderId="0" applyNumberFormat="0" applyBorder="0" applyAlignment="0" applyProtection="0"/>
    <xf numFmtId="0" fontId="25" fillId="18" borderId="0" applyNumberFormat="0" applyBorder="0" applyAlignment="0" applyProtection="0"/>
    <xf numFmtId="171" fontId="23" fillId="43" borderId="0" applyNumberFormat="0" applyBorder="0" applyAlignment="0" applyProtection="0"/>
    <xf numFmtId="171" fontId="23" fillId="43" borderId="0" applyNumberFormat="0" applyBorder="0" applyAlignment="0" applyProtection="0"/>
    <xf numFmtId="171" fontId="23" fillId="43" borderId="0" applyNumberFormat="0" applyBorder="0" applyAlignment="0" applyProtection="0"/>
    <xf numFmtId="171" fontId="23" fillId="43" borderId="0" applyNumberFormat="0" applyBorder="0" applyAlignment="0" applyProtection="0"/>
    <xf numFmtId="171" fontId="23" fillId="43" borderId="0" applyNumberFormat="0" applyBorder="0" applyAlignment="0" applyProtection="0"/>
    <xf numFmtId="171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170" fontId="24" fillId="22" borderId="0" applyNumberFormat="0" applyBorder="0" applyAlignment="0" applyProtection="0"/>
    <xf numFmtId="170" fontId="24" fillId="22" borderId="0" applyNumberFormat="0" applyBorder="0" applyAlignment="0" applyProtection="0"/>
    <xf numFmtId="0" fontId="25" fillId="22" borderId="0" applyNumberFormat="0" applyBorder="0" applyAlignment="0" applyProtection="0"/>
    <xf numFmtId="171" fontId="23" fillId="44" borderId="0" applyNumberFormat="0" applyBorder="0" applyAlignment="0" applyProtection="0"/>
    <xf numFmtId="171" fontId="23" fillId="44" borderId="0" applyNumberFormat="0" applyBorder="0" applyAlignment="0" applyProtection="0"/>
    <xf numFmtId="171" fontId="23" fillId="44" borderId="0" applyNumberFormat="0" applyBorder="0" applyAlignment="0" applyProtection="0"/>
    <xf numFmtId="171" fontId="23" fillId="44" borderId="0" applyNumberFormat="0" applyBorder="0" applyAlignment="0" applyProtection="0"/>
    <xf numFmtId="171" fontId="23" fillId="44" borderId="0" applyNumberFormat="0" applyBorder="0" applyAlignment="0" applyProtection="0"/>
    <xf numFmtId="171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170" fontId="24" fillId="26" borderId="0" applyNumberFormat="0" applyBorder="0" applyAlignment="0" applyProtection="0"/>
    <xf numFmtId="170" fontId="24" fillId="26" borderId="0" applyNumberFormat="0" applyBorder="0" applyAlignment="0" applyProtection="0"/>
    <xf numFmtId="0" fontId="25" fillId="26" borderId="0" applyNumberFormat="0" applyBorder="0" applyAlignment="0" applyProtection="0"/>
    <xf numFmtId="171" fontId="23" fillId="47" borderId="0" applyNumberFormat="0" applyBorder="0" applyAlignment="0" applyProtection="0"/>
    <xf numFmtId="171" fontId="23" fillId="47" borderId="0" applyNumberFormat="0" applyBorder="0" applyAlignment="0" applyProtection="0"/>
    <xf numFmtId="171" fontId="23" fillId="47" borderId="0" applyNumberFormat="0" applyBorder="0" applyAlignment="0" applyProtection="0"/>
    <xf numFmtId="171" fontId="23" fillId="47" borderId="0" applyNumberFormat="0" applyBorder="0" applyAlignment="0" applyProtection="0"/>
    <xf numFmtId="171" fontId="23" fillId="47" borderId="0" applyNumberFormat="0" applyBorder="0" applyAlignment="0" applyProtection="0"/>
    <xf numFmtId="171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170" fontId="24" fillId="30" borderId="0" applyNumberFormat="0" applyBorder="0" applyAlignment="0" applyProtection="0"/>
    <xf numFmtId="170" fontId="24" fillId="30" borderId="0" applyNumberFormat="0" applyBorder="0" applyAlignment="0" applyProtection="0"/>
    <xf numFmtId="0" fontId="25" fillId="30" borderId="0" applyNumberFormat="0" applyBorder="0" applyAlignment="0" applyProtection="0"/>
    <xf numFmtId="171" fontId="23" fillId="48" borderId="0" applyNumberFormat="0" applyBorder="0" applyAlignment="0" applyProtection="0"/>
    <xf numFmtId="171" fontId="23" fillId="48" borderId="0" applyNumberFormat="0" applyBorder="0" applyAlignment="0" applyProtection="0"/>
    <xf numFmtId="171" fontId="23" fillId="48" borderId="0" applyNumberFormat="0" applyBorder="0" applyAlignment="0" applyProtection="0"/>
    <xf numFmtId="171" fontId="23" fillId="48" borderId="0" applyNumberFormat="0" applyBorder="0" applyAlignment="0" applyProtection="0"/>
    <xf numFmtId="171" fontId="23" fillId="48" borderId="0" applyNumberFormat="0" applyBorder="0" applyAlignment="0" applyProtection="0"/>
    <xf numFmtId="171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170" fontId="24" fillId="34" borderId="0" applyNumberFormat="0" applyBorder="0" applyAlignment="0" applyProtection="0"/>
    <xf numFmtId="170" fontId="24" fillId="34" borderId="0" applyNumberFormat="0" applyBorder="0" applyAlignment="0" applyProtection="0"/>
    <xf numFmtId="0" fontId="25" fillId="34" borderId="0" applyNumberFormat="0" applyBorder="0" applyAlignment="0" applyProtection="0"/>
    <xf numFmtId="171" fontId="23" fillId="49" borderId="0" applyNumberFormat="0" applyBorder="0" applyAlignment="0" applyProtection="0"/>
    <xf numFmtId="171" fontId="23" fillId="49" borderId="0" applyNumberFormat="0" applyBorder="0" applyAlignment="0" applyProtection="0"/>
    <xf numFmtId="171" fontId="23" fillId="49" borderId="0" applyNumberFormat="0" applyBorder="0" applyAlignment="0" applyProtection="0"/>
    <xf numFmtId="171" fontId="23" fillId="49" borderId="0" applyNumberFormat="0" applyBorder="0" applyAlignment="0" applyProtection="0"/>
    <xf numFmtId="171" fontId="23" fillId="49" borderId="0" applyNumberFormat="0" applyBorder="0" applyAlignment="0" applyProtection="0"/>
    <xf numFmtId="171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170" fontId="24" fillId="11" borderId="0" applyNumberFormat="0" applyBorder="0" applyAlignment="0" applyProtection="0"/>
    <xf numFmtId="170" fontId="24" fillId="11" borderId="0" applyNumberFormat="0" applyBorder="0" applyAlignment="0" applyProtection="0"/>
    <xf numFmtId="0" fontId="25" fillId="11" borderId="0" applyNumberFormat="0" applyBorder="0" applyAlignment="0" applyProtection="0"/>
    <xf numFmtId="171" fontId="23" fillId="50" borderId="0" applyNumberFormat="0" applyBorder="0" applyAlignment="0" applyProtection="0"/>
    <xf numFmtId="171" fontId="23" fillId="50" borderId="0" applyNumberFormat="0" applyBorder="0" applyAlignment="0" applyProtection="0"/>
    <xf numFmtId="171" fontId="23" fillId="50" borderId="0" applyNumberFormat="0" applyBorder="0" applyAlignment="0" applyProtection="0"/>
    <xf numFmtId="171" fontId="23" fillId="50" borderId="0" applyNumberFormat="0" applyBorder="0" applyAlignment="0" applyProtection="0"/>
    <xf numFmtId="171" fontId="23" fillId="50" borderId="0" applyNumberFormat="0" applyBorder="0" applyAlignment="0" applyProtection="0"/>
    <xf numFmtId="171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0" fontId="25" fillId="15" borderId="0" applyNumberFormat="0" applyBorder="0" applyAlignment="0" applyProtection="0"/>
    <xf numFmtId="171" fontId="23" fillId="51" borderId="0" applyNumberFormat="0" applyBorder="0" applyAlignment="0" applyProtection="0"/>
    <xf numFmtId="171" fontId="23" fillId="51" borderId="0" applyNumberFormat="0" applyBorder="0" applyAlignment="0" applyProtection="0"/>
    <xf numFmtId="171" fontId="23" fillId="51" borderId="0" applyNumberFormat="0" applyBorder="0" applyAlignment="0" applyProtection="0"/>
    <xf numFmtId="171" fontId="23" fillId="51" borderId="0" applyNumberFormat="0" applyBorder="0" applyAlignment="0" applyProtection="0"/>
    <xf numFmtId="171" fontId="23" fillId="51" borderId="0" applyNumberFormat="0" applyBorder="0" applyAlignment="0" applyProtection="0"/>
    <xf numFmtId="171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170" fontId="24" fillId="19" borderId="0" applyNumberFormat="0" applyBorder="0" applyAlignment="0" applyProtection="0"/>
    <xf numFmtId="170" fontId="24" fillId="19" borderId="0" applyNumberFormat="0" applyBorder="0" applyAlignment="0" applyProtection="0"/>
    <xf numFmtId="0" fontId="25" fillId="19" borderId="0" applyNumberFormat="0" applyBorder="0" applyAlignment="0" applyProtection="0"/>
    <xf numFmtId="171" fontId="23" fillId="52" borderId="0" applyNumberFormat="0" applyBorder="0" applyAlignment="0" applyProtection="0"/>
    <xf numFmtId="171" fontId="23" fillId="52" borderId="0" applyNumberFormat="0" applyBorder="0" applyAlignment="0" applyProtection="0"/>
    <xf numFmtId="171" fontId="23" fillId="52" borderId="0" applyNumberFormat="0" applyBorder="0" applyAlignment="0" applyProtection="0"/>
    <xf numFmtId="171" fontId="23" fillId="52" borderId="0" applyNumberFormat="0" applyBorder="0" applyAlignment="0" applyProtection="0"/>
    <xf numFmtId="171" fontId="23" fillId="52" borderId="0" applyNumberFormat="0" applyBorder="0" applyAlignment="0" applyProtection="0"/>
    <xf numFmtId="171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170" fontId="24" fillId="23" borderId="0" applyNumberFormat="0" applyBorder="0" applyAlignment="0" applyProtection="0"/>
    <xf numFmtId="170" fontId="24" fillId="23" borderId="0" applyNumberFormat="0" applyBorder="0" applyAlignment="0" applyProtection="0"/>
    <xf numFmtId="0" fontId="25" fillId="23" borderId="0" applyNumberFormat="0" applyBorder="0" applyAlignment="0" applyProtection="0"/>
    <xf numFmtId="171" fontId="23" fillId="47" borderId="0" applyNumberFormat="0" applyBorder="0" applyAlignment="0" applyProtection="0"/>
    <xf numFmtId="171" fontId="23" fillId="47" borderId="0" applyNumberFormat="0" applyBorder="0" applyAlignment="0" applyProtection="0"/>
    <xf numFmtId="171" fontId="23" fillId="47" borderId="0" applyNumberFormat="0" applyBorder="0" applyAlignment="0" applyProtection="0"/>
    <xf numFmtId="171" fontId="23" fillId="47" borderId="0" applyNumberFormat="0" applyBorder="0" applyAlignment="0" applyProtection="0"/>
    <xf numFmtId="171" fontId="23" fillId="47" borderId="0" applyNumberFormat="0" applyBorder="0" applyAlignment="0" applyProtection="0"/>
    <xf numFmtId="171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170" fontId="24" fillId="27" borderId="0" applyNumberFormat="0" applyBorder="0" applyAlignment="0" applyProtection="0"/>
    <xf numFmtId="170" fontId="24" fillId="27" borderId="0" applyNumberFormat="0" applyBorder="0" applyAlignment="0" applyProtection="0"/>
    <xf numFmtId="0" fontId="25" fillId="27" borderId="0" applyNumberFormat="0" applyBorder="0" applyAlignment="0" applyProtection="0"/>
    <xf numFmtId="171" fontId="23" fillId="48" borderId="0" applyNumberFormat="0" applyBorder="0" applyAlignment="0" applyProtection="0"/>
    <xf numFmtId="171" fontId="23" fillId="48" borderId="0" applyNumberFormat="0" applyBorder="0" applyAlignment="0" applyProtection="0"/>
    <xf numFmtId="171" fontId="23" fillId="48" borderId="0" applyNumberFormat="0" applyBorder="0" applyAlignment="0" applyProtection="0"/>
    <xf numFmtId="171" fontId="23" fillId="48" borderId="0" applyNumberFormat="0" applyBorder="0" applyAlignment="0" applyProtection="0"/>
    <xf numFmtId="171" fontId="23" fillId="48" borderId="0" applyNumberFormat="0" applyBorder="0" applyAlignment="0" applyProtection="0"/>
    <xf numFmtId="171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170" fontId="24" fillId="31" borderId="0" applyNumberFormat="0" applyBorder="0" applyAlignment="0" applyProtection="0"/>
    <xf numFmtId="170" fontId="24" fillId="31" borderId="0" applyNumberFormat="0" applyBorder="0" applyAlignment="0" applyProtection="0"/>
    <xf numFmtId="0" fontId="25" fillId="31" borderId="0" applyNumberFormat="0" applyBorder="0" applyAlignment="0" applyProtection="0"/>
    <xf numFmtId="171" fontId="23" fillId="53" borderId="0" applyNumberFormat="0" applyBorder="0" applyAlignment="0" applyProtection="0"/>
    <xf numFmtId="171" fontId="23" fillId="53" borderId="0" applyNumberFormat="0" applyBorder="0" applyAlignment="0" applyProtection="0"/>
    <xf numFmtId="171" fontId="23" fillId="53" borderId="0" applyNumberFormat="0" applyBorder="0" applyAlignment="0" applyProtection="0"/>
    <xf numFmtId="171" fontId="23" fillId="53" borderId="0" applyNumberFormat="0" applyBorder="0" applyAlignment="0" applyProtection="0"/>
    <xf numFmtId="171" fontId="23" fillId="53" borderId="0" applyNumberFormat="0" applyBorder="0" applyAlignment="0" applyProtection="0"/>
    <xf numFmtId="171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170" fontId="27" fillId="5" borderId="0" applyNumberFormat="0" applyBorder="0" applyAlignment="0" applyProtection="0"/>
    <xf numFmtId="170" fontId="27" fillId="5" borderId="0" applyNumberFormat="0" applyBorder="0" applyAlignment="0" applyProtection="0"/>
    <xf numFmtId="0" fontId="28" fillId="5" borderId="0" applyNumberFormat="0" applyBorder="0" applyAlignment="0" applyProtection="0"/>
    <xf numFmtId="171" fontId="26" fillId="37" borderId="0" applyNumberFormat="0" applyBorder="0" applyAlignment="0" applyProtection="0"/>
    <xf numFmtId="171" fontId="26" fillId="37" borderId="0" applyNumberFormat="0" applyBorder="0" applyAlignment="0" applyProtection="0"/>
    <xf numFmtId="171" fontId="26" fillId="37" borderId="0" applyNumberFormat="0" applyBorder="0" applyAlignment="0" applyProtection="0"/>
    <xf numFmtId="171" fontId="26" fillId="37" borderId="0" applyNumberFormat="0" applyBorder="0" applyAlignment="0" applyProtection="0"/>
    <xf numFmtId="171" fontId="26" fillId="37" borderId="0" applyNumberFormat="0" applyBorder="0" applyAlignment="0" applyProtection="0"/>
    <xf numFmtId="171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9" fillId="0" borderId="13"/>
    <xf numFmtId="0" fontId="30" fillId="54" borderId="28" applyNumberFormat="0" applyAlignment="0" applyProtection="0"/>
    <xf numFmtId="0" fontId="30" fillId="54" borderId="28" applyNumberFormat="0" applyAlignment="0" applyProtection="0"/>
    <xf numFmtId="0" fontId="30" fillId="54" borderId="28" applyNumberFormat="0" applyAlignment="0" applyProtection="0"/>
    <xf numFmtId="0" fontId="30" fillId="54" borderId="28" applyNumberFormat="0" applyAlignment="0" applyProtection="0"/>
    <xf numFmtId="0" fontId="30" fillId="54" borderId="28" applyNumberFormat="0" applyAlignment="0" applyProtection="0"/>
    <xf numFmtId="170" fontId="31" fillId="8" borderId="20" applyNumberFormat="0" applyAlignment="0" applyProtection="0"/>
    <xf numFmtId="170" fontId="31" fillId="8" borderId="20" applyNumberFormat="0" applyAlignment="0" applyProtection="0"/>
    <xf numFmtId="0" fontId="32" fillId="8" borderId="20" applyNumberFormat="0" applyAlignment="0" applyProtection="0"/>
    <xf numFmtId="171" fontId="30" fillId="54" borderId="28" applyNumberFormat="0" applyAlignment="0" applyProtection="0"/>
    <xf numFmtId="171" fontId="30" fillId="54" borderId="28" applyNumberFormat="0" applyAlignment="0" applyProtection="0"/>
    <xf numFmtId="171" fontId="30" fillId="54" borderId="28" applyNumberFormat="0" applyAlignment="0" applyProtection="0"/>
    <xf numFmtId="171" fontId="30" fillId="54" borderId="28" applyNumberFormat="0" applyAlignment="0" applyProtection="0"/>
    <xf numFmtId="171" fontId="30" fillId="54" borderId="28" applyNumberFormat="0" applyAlignment="0" applyProtection="0"/>
    <xf numFmtId="171" fontId="30" fillId="54" borderId="28" applyNumberFormat="0" applyAlignment="0" applyProtection="0"/>
    <xf numFmtId="0" fontId="30" fillId="54" borderId="28" applyNumberFormat="0" applyAlignment="0" applyProtection="0"/>
    <xf numFmtId="0" fontId="33" fillId="55" borderId="29" applyNumberFormat="0" applyAlignment="0" applyProtection="0"/>
    <xf numFmtId="0" fontId="33" fillId="55" borderId="29" applyNumberFormat="0" applyAlignment="0" applyProtection="0"/>
    <xf numFmtId="0" fontId="33" fillId="55" borderId="29" applyNumberFormat="0" applyAlignment="0" applyProtection="0"/>
    <xf numFmtId="0" fontId="33" fillId="55" borderId="29" applyNumberFormat="0" applyAlignment="0" applyProtection="0"/>
    <xf numFmtId="0" fontId="33" fillId="55" borderId="29" applyNumberFormat="0" applyAlignment="0" applyProtection="0"/>
    <xf numFmtId="170" fontId="34" fillId="9" borderId="23" applyNumberFormat="0" applyAlignment="0" applyProtection="0"/>
    <xf numFmtId="170" fontId="34" fillId="9" borderId="23" applyNumberFormat="0" applyAlignment="0" applyProtection="0"/>
    <xf numFmtId="0" fontId="35" fillId="9" borderId="23" applyNumberFormat="0" applyAlignment="0" applyProtection="0"/>
    <xf numFmtId="171" fontId="33" fillId="55" borderId="29" applyNumberFormat="0" applyAlignment="0" applyProtection="0"/>
    <xf numFmtId="171" fontId="33" fillId="55" borderId="29" applyNumberFormat="0" applyAlignment="0" applyProtection="0"/>
    <xf numFmtId="171" fontId="33" fillId="55" borderId="29" applyNumberFormat="0" applyAlignment="0" applyProtection="0"/>
    <xf numFmtId="171" fontId="33" fillId="55" borderId="29" applyNumberFormat="0" applyAlignment="0" applyProtection="0"/>
    <xf numFmtId="171" fontId="33" fillId="55" borderId="29" applyNumberFormat="0" applyAlignment="0" applyProtection="0"/>
    <xf numFmtId="171" fontId="33" fillId="55" borderId="29" applyNumberFormat="0" applyAlignment="0" applyProtection="0"/>
    <xf numFmtId="0" fontId="33" fillId="55" borderId="29" applyNumberFormat="0" applyAlignment="0" applyProtection="0"/>
    <xf numFmtId="172" fontId="36" fillId="0" borderId="1" applyBorder="0">
      <alignment horizontal="center" vertical="center"/>
    </xf>
    <xf numFmtId="0" fontId="37" fillId="56" borderId="0">
      <alignment horizontal="left"/>
    </xf>
    <xf numFmtId="0" fontId="38" fillId="56" borderId="0">
      <alignment horizontal="right"/>
    </xf>
    <xf numFmtId="0" fontId="39" fillId="57" borderId="0">
      <alignment horizontal="center"/>
    </xf>
    <xf numFmtId="0" fontId="38" fillId="56" borderId="0">
      <alignment horizontal="right"/>
    </xf>
    <xf numFmtId="0" fontId="40" fillId="57" borderId="0">
      <alignment horizontal="left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58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44" borderId="30" applyNumberFormat="0" applyFont="0" applyAlignment="0">
      <protection locked="0"/>
    </xf>
    <xf numFmtId="0" fontId="1" fillId="44" borderId="30" applyNumberFormat="0" applyFont="0" applyAlignment="0">
      <protection locked="0"/>
    </xf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170" fontId="3" fillId="0" borderId="0" applyProtection="0"/>
    <xf numFmtId="170" fontId="3" fillId="0" borderId="0" applyProtection="0"/>
    <xf numFmtId="0" fontId="3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170" fontId="18" fillId="0" borderId="0" applyProtection="0"/>
    <xf numFmtId="170" fontId="18" fillId="0" borderId="0" applyProtection="0"/>
    <xf numFmtId="0" fontId="18" fillId="0" borderId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170" fontId="45" fillId="0" borderId="0" applyProtection="0"/>
    <xf numFmtId="170" fontId="45" fillId="0" borderId="0" applyProtection="0"/>
    <xf numFmtId="0" fontId="45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170" fontId="6" fillId="0" borderId="0" applyProtection="0"/>
    <xf numFmtId="170" fontId="6" fillId="0" borderId="0" applyProtection="0"/>
    <xf numFmtId="0" fontId="6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170" fontId="1" fillId="0" borderId="0" applyProtection="0"/>
    <xf numFmtId="170" fontId="1" fillId="0" borderId="0" applyProtection="0"/>
    <xf numFmtId="0" fontId="1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170" fontId="3" fillId="0" borderId="0" applyProtection="0"/>
    <xf numFmtId="170" fontId="3" fillId="0" borderId="0" applyProtection="0"/>
    <xf numFmtId="0" fontId="3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170" fontId="46" fillId="0" borderId="0" applyProtection="0"/>
    <xf numFmtId="170" fontId="46" fillId="0" borderId="0" applyProtection="0"/>
    <xf numFmtId="0" fontId="46" fillId="0" borderId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170" fontId="48" fillId="4" borderId="0" applyNumberFormat="0" applyBorder="0" applyAlignment="0" applyProtection="0"/>
    <xf numFmtId="170" fontId="48" fillId="4" borderId="0" applyNumberFormat="0" applyBorder="0" applyAlignment="0" applyProtection="0"/>
    <xf numFmtId="0" fontId="49" fillId="4" borderId="0" applyNumberFormat="0" applyBorder="0" applyAlignment="0" applyProtection="0"/>
    <xf numFmtId="171" fontId="47" fillId="38" borderId="0" applyNumberFormat="0" applyBorder="0" applyAlignment="0" applyProtection="0"/>
    <xf numFmtId="171" fontId="47" fillId="38" borderId="0" applyNumberFormat="0" applyBorder="0" applyAlignment="0" applyProtection="0"/>
    <xf numFmtId="171" fontId="47" fillId="38" borderId="0" applyNumberFormat="0" applyBorder="0" applyAlignment="0" applyProtection="0"/>
    <xf numFmtId="171" fontId="47" fillId="38" borderId="0" applyNumberFormat="0" applyBorder="0" applyAlignment="0" applyProtection="0"/>
    <xf numFmtId="171" fontId="47" fillId="38" borderId="0" applyNumberFormat="0" applyBorder="0" applyAlignment="0" applyProtection="0"/>
    <xf numFmtId="171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170" fontId="15" fillId="0" borderId="17" applyNumberFormat="0" applyFill="0" applyAlignment="0" applyProtection="0"/>
    <xf numFmtId="170" fontId="15" fillId="0" borderId="17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50" fillId="0" borderId="31" applyNumberFormat="0" applyFill="0" applyAlignment="0" applyProtection="0"/>
    <xf numFmtId="171" fontId="50" fillId="0" borderId="31" applyNumberFormat="0" applyFill="0" applyAlignment="0" applyProtection="0"/>
    <xf numFmtId="171" fontId="50" fillId="0" borderId="31" applyNumberFormat="0" applyFill="0" applyAlignment="0" applyProtection="0"/>
    <xf numFmtId="171" fontId="50" fillId="0" borderId="31" applyNumberFormat="0" applyFill="0" applyAlignment="0" applyProtection="0"/>
    <xf numFmtId="171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2" fillId="0" borderId="32" applyNumberFormat="0" applyFill="0" applyAlignment="0" applyProtection="0"/>
    <xf numFmtId="0" fontId="52" fillId="0" borderId="32" applyNumberFormat="0" applyFill="0" applyAlignment="0" applyProtection="0"/>
    <xf numFmtId="0" fontId="52" fillId="0" borderId="32" applyNumberFormat="0" applyFill="0" applyAlignment="0" applyProtection="0"/>
    <xf numFmtId="0" fontId="52" fillId="0" borderId="32" applyNumberFormat="0" applyFill="0" applyAlignment="0" applyProtection="0"/>
    <xf numFmtId="0" fontId="52" fillId="0" borderId="32" applyNumberFormat="0" applyFill="0" applyAlignment="0" applyProtection="0"/>
    <xf numFmtId="170" fontId="16" fillId="0" borderId="18" applyNumberFormat="0" applyFill="0" applyAlignment="0" applyProtection="0"/>
    <xf numFmtId="170" fontId="16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1" fontId="52" fillId="0" borderId="32" applyNumberFormat="0" applyFill="0" applyAlignment="0" applyProtection="0"/>
    <xf numFmtId="171" fontId="52" fillId="0" borderId="32" applyNumberFormat="0" applyFill="0" applyAlignment="0" applyProtection="0"/>
    <xf numFmtId="171" fontId="52" fillId="0" borderId="32" applyNumberFormat="0" applyFill="0" applyAlignment="0" applyProtection="0"/>
    <xf numFmtId="171" fontId="52" fillId="0" borderId="32" applyNumberFormat="0" applyFill="0" applyAlignment="0" applyProtection="0"/>
    <xf numFmtId="171" fontId="52" fillId="0" borderId="32" applyNumberFormat="0" applyFill="0" applyAlignment="0" applyProtection="0"/>
    <xf numFmtId="0" fontId="52" fillId="0" borderId="32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33" applyNumberFormat="0" applyFill="0" applyAlignment="0" applyProtection="0"/>
    <xf numFmtId="170" fontId="17" fillId="0" borderId="19" applyNumberFormat="0" applyFill="0" applyAlignment="0" applyProtection="0"/>
    <xf numFmtId="170" fontId="17" fillId="0" borderId="19" applyNumberFormat="0" applyFill="0" applyAlignment="0" applyProtection="0"/>
    <xf numFmtId="0" fontId="55" fillId="0" borderId="19" applyNumberFormat="0" applyFill="0" applyAlignment="0" applyProtection="0"/>
    <xf numFmtId="171" fontId="54" fillId="0" borderId="33" applyNumberFormat="0" applyFill="0" applyAlignment="0" applyProtection="0"/>
    <xf numFmtId="171" fontId="54" fillId="0" borderId="33" applyNumberFormat="0" applyFill="0" applyAlignment="0" applyProtection="0"/>
    <xf numFmtId="171" fontId="54" fillId="0" borderId="33" applyNumberFormat="0" applyFill="0" applyAlignment="0" applyProtection="0"/>
    <xf numFmtId="171" fontId="54" fillId="0" borderId="33" applyNumberFormat="0" applyFill="0" applyAlignment="0" applyProtection="0"/>
    <xf numFmtId="171" fontId="54" fillId="0" borderId="33" applyNumberFormat="0" applyFill="0" applyAlignment="0" applyProtection="0"/>
    <xf numFmtId="171" fontId="54" fillId="0" borderId="33" applyNumberFormat="0" applyFill="0" applyAlignment="0" applyProtection="0"/>
    <xf numFmtId="0" fontId="54" fillId="0" borderId="33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6" fillId="41" borderId="28" applyNumberFormat="0" applyAlignment="0" applyProtection="0"/>
    <xf numFmtId="0" fontId="56" fillId="41" borderId="28" applyNumberFormat="0" applyAlignment="0" applyProtection="0"/>
    <xf numFmtId="0" fontId="56" fillId="41" borderId="28" applyNumberFormat="0" applyAlignment="0" applyProtection="0"/>
    <xf numFmtId="0" fontId="56" fillId="41" borderId="28" applyNumberFormat="0" applyAlignment="0" applyProtection="0"/>
    <xf numFmtId="0" fontId="56" fillId="41" borderId="28" applyNumberFormat="0" applyAlignment="0" applyProtection="0"/>
    <xf numFmtId="170" fontId="57" fillId="7" borderId="20" applyNumberFormat="0" applyAlignment="0" applyProtection="0"/>
    <xf numFmtId="170" fontId="57" fillId="7" borderId="20" applyNumberFormat="0" applyAlignment="0" applyProtection="0"/>
    <xf numFmtId="0" fontId="58" fillId="7" borderId="20" applyNumberFormat="0" applyAlignment="0" applyProtection="0"/>
    <xf numFmtId="171" fontId="56" fillId="41" borderId="28" applyNumberFormat="0" applyAlignment="0" applyProtection="0"/>
    <xf numFmtId="171" fontId="56" fillId="41" borderId="28" applyNumberFormat="0" applyAlignment="0" applyProtection="0"/>
    <xf numFmtId="171" fontId="56" fillId="41" borderId="28" applyNumberFormat="0" applyAlignment="0" applyProtection="0"/>
    <xf numFmtId="171" fontId="56" fillId="41" borderId="28" applyNumberFormat="0" applyAlignment="0" applyProtection="0"/>
    <xf numFmtId="171" fontId="56" fillId="41" borderId="28" applyNumberFormat="0" applyAlignment="0" applyProtection="0"/>
    <xf numFmtId="171" fontId="56" fillId="41" borderId="28" applyNumberFormat="0" applyAlignment="0" applyProtection="0"/>
    <xf numFmtId="0" fontId="56" fillId="41" borderId="28" applyNumberFormat="0" applyAlignment="0" applyProtection="0"/>
    <xf numFmtId="0" fontId="37" fillId="56" borderId="0">
      <alignment horizontal="left"/>
    </xf>
    <xf numFmtId="0" fontId="59" fillId="57" borderId="0">
      <alignment horizontal="left"/>
    </xf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170" fontId="61" fillId="0" borderId="22" applyNumberFormat="0" applyFill="0" applyAlignment="0" applyProtection="0"/>
    <xf numFmtId="170" fontId="61" fillId="0" borderId="22" applyNumberFormat="0" applyFill="0" applyAlignment="0" applyProtection="0"/>
    <xf numFmtId="0" fontId="62" fillId="0" borderId="22" applyNumberFormat="0" applyFill="0" applyAlignment="0" applyProtection="0"/>
    <xf numFmtId="171" fontId="60" fillId="0" borderId="34" applyNumberFormat="0" applyFill="0" applyAlignment="0" applyProtection="0"/>
    <xf numFmtId="171" fontId="60" fillId="0" borderId="34" applyNumberFormat="0" applyFill="0" applyAlignment="0" applyProtection="0"/>
    <xf numFmtId="171" fontId="60" fillId="0" borderId="34" applyNumberFormat="0" applyFill="0" applyAlignment="0" applyProtection="0"/>
    <xf numFmtId="171" fontId="60" fillId="0" borderId="34" applyNumberFormat="0" applyFill="0" applyAlignment="0" applyProtection="0"/>
    <xf numFmtId="171" fontId="60" fillId="0" borderId="34" applyNumberFormat="0" applyFill="0" applyAlignment="0" applyProtection="0"/>
    <xf numFmtId="171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3" fillId="59" borderId="0" applyNumberFormat="0" applyBorder="0" applyAlignment="0" applyProtection="0"/>
    <xf numFmtId="0" fontId="63" fillId="59" borderId="0" applyNumberFormat="0" applyBorder="0" applyAlignment="0" applyProtection="0"/>
    <xf numFmtId="0" fontId="63" fillId="59" borderId="0" applyNumberFormat="0" applyBorder="0" applyAlignment="0" applyProtection="0"/>
    <xf numFmtId="0" fontId="63" fillId="59" borderId="0" applyNumberFormat="0" applyBorder="0" applyAlignment="0" applyProtection="0"/>
    <xf numFmtId="0" fontId="63" fillId="59" borderId="0" applyNumberFormat="0" applyBorder="0" applyAlignment="0" applyProtection="0"/>
    <xf numFmtId="170" fontId="64" fillId="6" borderId="0" applyNumberFormat="0" applyBorder="0" applyAlignment="0" applyProtection="0"/>
    <xf numFmtId="170" fontId="64" fillId="6" borderId="0" applyNumberFormat="0" applyBorder="0" applyAlignment="0" applyProtection="0"/>
    <xf numFmtId="0" fontId="65" fillId="6" borderId="0" applyNumberFormat="0" applyBorder="0" applyAlignment="0" applyProtection="0"/>
    <xf numFmtId="171" fontId="63" fillId="59" borderId="0" applyNumberFormat="0" applyBorder="0" applyAlignment="0" applyProtection="0"/>
    <xf numFmtId="171" fontId="63" fillId="59" borderId="0" applyNumberFormat="0" applyBorder="0" applyAlignment="0" applyProtection="0"/>
    <xf numFmtId="171" fontId="63" fillId="59" borderId="0" applyNumberFormat="0" applyBorder="0" applyAlignment="0" applyProtection="0"/>
    <xf numFmtId="171" fontId="63" fillId="59" borderId="0" applyNumberFormat="0" applyBorder="0" applyAlignment="0" applyProtection="0"/>
    <xf numFmtId="171" fontId="63" fillId="59" borderId="0" applyNumberFormat="0" applyBorder="0" applyAlignment="0" applyProtection="0"/>
    <xf numFmtId="171" fontId="63" fillId="59" borderId="0" applyNumberFormat="0" applyBorder="0" applyAlignment="0" applyProtection="0"/>
    <xf numFmtId="0" fontId="63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0" fontId="1" fillId="0" borderId="0"/>
    <xf numFmtId="17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66" fillId="0" borderId="0"/>
    <xf numFmtId="171" fontId="66" fillId="0" borderId="0"/>
    <xf numFmtId="171" fontId="66" fillId="0" borderId="0"/>
    <xf numFmtId="171" fontId="66" fillId="0" borderId="0"/>
    <xf numFmtId="171" fontId="66" fillId="0" borderId="0"/>
    <xf numFmtId="170" fontId="21" fillId="0" borderId="0"/>
    <xf numFmtId="170" fontId="21" fillId="0" borderId="0"/>
    <xf numFmtId="0" fontId="41" fillId="0" borderId="0"/>
    <xf numFmtId="0" fontId="1" fillId="0" borderId="0"/>
    <xf numFmtId="171" fontId="66" fillId="0" borderId="0"/>
    <xf numFmtId="171" fontId="66" fillId="0" borderId="0"/>
    <xf numFmtId="171" fontId="66" fillId="0" borderId="0"/>
    <xf numFmtId="171" fontId="66" fillId="0" borderId="0"/>
    <xf numFmtId="171" fontId="66" fillId="0" borderId="0"/>
    <xf numFmtId="171" fontId="66" fillId="0" borderId="0"/>
    <xf numFmtId="171" fontId="66" fillId="0" borderId="0"/>
    <xf numFmtId="171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1" fillId="0" borderId="0"/>
    <xf numFmtId="0" fontId="1" fillId="0" borderId="0"/>
    <xf numFmtId="37" fontId="67" fillId="0" borderId="0"/>
    <xf numFmtId="170" fontId="21" fillId="0" borderId="0"/>
    <xf numFmtId="170" fontId="21" fillId="0" borderId="0"/>
    <xf numFmtId="0" fontId="1" fillId="0" borderId="0"/>
    <xf numFmtId="0" fontId="1" fillId="0" borderId="0"/>
    <xf numFmtId="0" fontId="1" fillId="0" borderId="0"/>
    <xf numFmtId="170" fontId="21" fillId="0" borderId="0"/>
    <xf numFmtId="0" fontId="22" fillId="0" borderId="0"/>
    <xf numFmtId="0" fontId="22" fillId="0" borderId="0"/>
    <xf numFmtId="0" fontId="1" fillId="0" borderId="0"/>
    <xf numFmtId="170" fontId="21" fillId="0" borderId="0"/>
    <xf numFmtId="170" fontId="21" fillId="0" borderId="0"/>
    <xf numFmtId="0" fontId="1" fillId="0" borderId="0"/>
    <xf numFmtId="0" fontId="1" fillId="0" borderId="0"/>
    <xf numFmtId="170" fontId="21" fillId="0" borderId="0"/>
    <xf numFmtId="170" fontId="21" fillId="0" borderId="0"/>
    <xf numFmtId="0" fontId="1" fillId="0" borderId="0"/>
    <xf numFmtId="0" fontId="1" fillId="0" borderId="0"/>
    <xf numFmtId="170" fontId="21" fillId="0" borderId="0"/>
    <xf numFmtId="170" fontId="21" fillId="0" borderId="0"/>
    <xf numFmtId="0" fontId="1" fillId="0" borderId="0"/>
    <xf numFmtId="0" fontId="6" fillId="0" borderId="0"/>
    <xf numFmtId="37" fontId="67" fillId="0" borderId="0"/>
    <xf numFmtId="0" fontId="68" fillId="60" borderId="35" applyNumberFormat="0" applyFont="0" applyAlignment="0" applyProtection="0"/>
    <xf numFmtId="0" fontId="68" fillId="60" borderId="35" applyNumberFormat="0" applyFont="0" applyAlignment="0" applyProtection="0"/>
    <xf numFmtId="0" fontId="68" fillId="60" borderId="35" applyNumberFormat="0" applyFont="0" applyAlignment="0" applyProtection="0"/>
    <xf numFmtId="0" fontId="68" fillId="60" borderId="35" applyNumberFormat="0" applyFont="0" applyAlignment="0" applyProtection="0"/>
    <xf numFmtId="0" fontId="68" fillId="60" borderId="35" applyNumberFormat="0" applyFont="0" applyAlignment="0" applyProtection="0"/>
    <xf numFmtId="0" fontId="41" fillId="60" borderId="35" applyNumberFormat="0" applyFont="0" applyAlignment="0" applyProtection="0"/>
    <xf numFmtId="170" fontId="68" fillId="10" borderId="24" applyNumberFormat="0" applyFont="0" applyAlignment="0" applyProtection="0"/>
    <xf numFmtId="170" fontId="68" fillId="10" borderId="24" applyNumberFormat="0" applyFont="0" applyAlignment="0" applyProtection="0"/>
    <xf numFmtId="0" fontId="41" fillId="60" borderId="35" applyNumberFormat="0" applyFont="0" applyAlignment="0" applyProtection="0"/>
    <xf numFmtId="170" fontId="68" fillId="10" borderId="24" applyNumberFormat="0" applyFont="0" applyAlignment="0" applyProtection="0"/>
    <xf numFmtId="170" fontId="68" fillId="10" borderId="24" applyNumberFormat="0" applyFont="0" applyAlignment="0" applyProtection="0"/>
    <xf numFmtId="171" fontId="68" fillId="60" borderId="35" applyNumberFormat="0" applyFont="0" applyAlignment="0" applyProtection="0"/>
    <xf numFmtId="170" fontId="68" fillId="10" borderId="24" applyNumberFormat="0" applyFont="0" applyAlignment="0" applyProtection="0"/>
    <xf numFmtId="170" fontId="68" fillId="10" borderId="24" applyNumberFormat="0" applyFont="0" applyAlignment="0" applyProtection="0"/>
    <xf numFmtId="171" fontId="68" fillId="60" borderId="35" applyNumberFormat="0" applyFont="0" applyAlignment="0" applyProtection="0"/>
    <xf numFmtId="170" fontId="68" fillId="10" borderId="24" applyNumberFormat="0" applyFont="0" applyAlignment="0" applyProtection="0"/>
    <xf numFmtId="170" fontId="68" fillId="10" borderId="24" applyNumberFormat="0" applyFont="0" applyAlignment="0" applyProtection="0"/>
    <xf numFmtId="171" fontId="68" fillId="60" borderId="35" applyNumberFormat="0" applyFont="0" applyAlignment="0" applyProtection="0"/>
    <xf numFmtId="170" fontId="68" fillId="10" borderId="24" applyNumberFormat="0" applyFont="0" applyAlignment="0" applyProtection="0"/>
    <xf numFmtId="170" fontId="68" fillId="10" borderId="24" applyNumberFormat="0" applyFont="0" applyAlignment="0" applyProtection="0"/>
    <xf numFmtId="171" fontId="68" fillId="60" borderId="35" applyNumberFormat="0" applyFont="0" applyAlignment="0" applyProtection="0"/>
    <xf numFmtId="170" fontId="68" fillId="10" borderId="24" applyNumberFormat="0" applyFont="0" applyAlignment="0" applyProtection="0"/>
    <xf numFmtId="170" fontId="68" fillId="10" borderId="24" applyNumberFormat="0" applyFont="0" applyAlignment="0" applyProtection="0"/>
    <xf numFmtId="171" fontId="68" fillId="60" borderId="35" applyNumberFormat="0" applyFont="0" applyAlignment="0" applyProtection="0"/>
    <xf numFmtId="170" fontId="68" fillId="10" borderId="24" applyNumberFormat="0" applyFont="0" applyAlignment="0" applyProtection="0"/>
    <xf numFmtId="170" fontId="68" fillId="10" borderId="24" applyNumberFormat="0" applyFont="0" applyAlignment="0" applyProtection="0"/>
    <xf numFmtId="0" fontId="68" fillId="60" borderId="35" applyNumberFormat="0" applyFont="0" applyAlignment="0" applyProtection="0"/>
    <xf numFmtId="0" fontId="69" fillId="54" borderId="36" applyNumberFormat="0" applyAlignment="0" applyProtection="0"/>
    <xf numFmtId="0" fontId="69" fillId="54" borderId="36" applyNumberFormat="0" applyAlignment="0" applyProtection="0"/>
    <xf numFmtId="0" fontId="69" fillId="54" borderId="36" applyNumberFormat="0" applyAlignment="0" applyProtection="0"/>
    <xf numFmtId="0" fontId="69" fillId="54" borderId="36" applyNumberFormat="0" applyAlignment="0" applyProtection="0"/>
    <xf numFmtId="0" fontId="69" fillId="54" borderId="36" applyNumberFormat="0" applyAlignment="0" applyProtection="0"/>
    <xf numFmtId="170" fontId="70" fillId="8" borderId="21" applyNumberFormat="0" applyAlignment="0" applyProtection="0"/>
    <xf numFmtId="170" fontId="70" fillId="8" borderId="21" applyNumberFormat="0" applyAlignment="0" applyProtection="0"/>
    <xf numFmtId="0" fontId="71" fillId="8" borderId="21" applyNumberFormat="0" applyAlignment="0" applyProtection="0"/>
    <xf numFmtId="171" fontId="69" fillId="54" borderId="36" applyNumberFormat="0" applyAlignment="0" applyProtection="0"/>
    <xf numFmtId="171" fontId="69" fillId="54" borderId="36" applyNumberFormat="0" applyAlignment="0" applyProtection="0"/>
    <xf numFmtId="171" fontId="69" fillId="54" borderId="36" applyNumberFormat="0" applyAlignment="0" applyProtection="0"/>
    <xf numFmtId="171" fontId="69" fillId="54" borderId="36" applyNumberFormat="0" applyAlignment="0" applyProtection="0"/>
    <xf numFmtId="171" fontId="69" fillId="54" borderId="36" applyNumberFormat="0" applyAlignment="0" applyProtection="0"/>
    <xf numFmtId="171" fontId="69" fillId="54" borderId="36" applyNumberFormat="0" applyAlignment="0" applyProtection="0"/>
    <xf numFmtId="0" fontId="69" fillId="54" borderId="36" applyNumberFormat="0" applyAlignment="0" applyProtection="0"/>
    <xf numFmtId="4" fontId="72" fillId="61" borderId="0">
      <alignment horizontal="right"/>
    </xf>
    <xf numFmtId="0" fontId="73" fillId="61" borderId="0">
      <alignment horizontal="center" vertical="center"/>
    </xf>
    <xf numFmtId="0" fontId="73" fillId="61" borderId="0">
      <alignment horizontal="center" vertical="center"/>
    </xf>
    <xf numFmtId="0" fontId="73" fillId="61" borderId="0">
      <alignment horizontal="center" vertical="center"/>
    </xf>
    <xf numFmtId="0" fontId="73" fillId="61" borderId="0">
      <alignment horizontal="center" vertical="center"/>
    </xf>
    <xf numFmtId="0" fontId="73" fillId="61" borderId="0">
      <alignment horizontal="center" vertical="center"/>
    </xf>
    <xf numFmtId="0" fontId="73" fillId="61" borderId="0">
      <alignment horizontal="center" vertical="center"/>
    </xf>
    <xf numFmtId="0" fontId="73" fillId="61" borderId="0">
      <alignment horizontal="center" vertical="center"/>
    </xf>
    <xf numFmtId="170" fontId="73" fillId="61" borderId="0">
      <alignment horizontal="center" vertical="center"/>
    </xf>
    <xf numFmtId="170" fontId="73" fillId="61" borderId="0">
      <alignment horizontal="center" vertical="center"/>
    </xf>
    <xf numFmtId="0" fontId="73" fillId="61" borderId="0">
      <alignment horizontal="center" vertical="center"/>
    </xf>
    <xf numFmtId="0" fontId="59" fillId="61" borderId="1"/>
    <xf numFmtId="0" fontId="59" fillId="61" borderId="1"/>
    <xf numFmtId="0" fontId="59" fillId="61" borderId="1"/>
    <xf numFmtId="0" fontId="59" fillId="61" borderId="1"/>
    <xf numFmtId="0" fontId="59" fillId="61" borderId="1"/>
    <xf numFmtId="0" fontId="59" fillId="61" borderId="1"/>
    <xf numFmtId="0" fontId="59" fillId="61" borderId="1"/>
    <xf numFmtId="170" fontId="59" fillId="61" borderId="1"/>
    <xf numFmtId="170" fontId="59" fillId="61" borderId="1"/>
    <xf numFmtId="0" fontId="59" fillId="61" borderId="1"/>
    <xf numFmtId="0" fontId="73" fillId="61" borderId="0" applyBorder="0">
      <alignment horizontal="centerContinuous"/>
    </xf>
    <xf numFmtId="0" fontId="73" fillId="61" borderId="0" applyBorder="0">
      <alignment horizontal="centerContinuous"/>
    </xf>
    <xf numFmtId="0" fontId="73" fillId="61" borderId="0" applyBorder="0">
      <alignment horizontal="centerContinuous"/>
    </xf>
    <xf numFmtId="0" fontId="73" fillId="61" borderId="0" applyBorder="0">
      <alignment horizontal="centerContinuous"/>
    </xf>
    <xf numFmtId="0" fontId="73" fillId="61" borderId="0" applyBorder="0">
      <alignment horizontal="centerContinuous"/>
    </xf>
    <xf numFmtId="0" fontId="73" fillId="61" borderId="0" applyBorder="0">
      <alignment horizontal="centerContinuous"/>
    </xf>
    <xf numFmtId="0" fontId="73" fillId="61" borderId="0" applyBorder="0">
      <alignment horizontal="centerContinuous"/>
    </xf>
    <xf numFmtId="170" fontId="73" fillId="61" borderId="0" applyBorder="0">
      <alignment horizontal="centerContinuous"/>
    </xf>
    <xf numFmtId="170" fontId="73" fillId="61" borderId="0" applyBorder="0">
      <alignment horizontal="centerContinuous"/>
    </xf>
    <xf numFmtId="0" fontId="73" fillId="61" borderId="0" applyBorder="0">
      <alignment horizontal="centerContinuous"/>
    </xf>
    <xf numFmtId="0" fontId="74" fillId="61" borderId="0" applyBorder="0">
      <alignment horizontal="centerContinuous"/>
    </xf>
    <xf numFmtId="0" fontId="74" fillId="61" borderId="0" applyBorder="0">
      <alignment horizontal="centerContinuous"/>
    </xf>
    <xf numFmtId="0" fontId="74" fillId="61" borderId="0" applyBorder="0">
      <alignment horizontal="centerContinuous"/>
    </xf>
    <xf numFmtId="0" fontId="74" fillId="61" borderId="0" applyBorder="0">
      <alignment horizontal="centerContinuous"/>
    </xf>
    <xf numFmtId="0" fontId="74" fillId="61" borderId="0" applyBorder="0">
      <alignment horizontal="centerContinuous"/>
    </xf>
    <xf numFmtId="0" fontId="74" fillId="61" borderId="0" applyBorder="0">
      <alignment horizontal="centerContinuous"/>
    </xf>
    <xf numFmtId="0" fontId="74" fillId="61" borderId="0" applyBorder="0">
      <alignment horizontal="centerContinuous"/>
    </xf>
    <xf numFmtId="170" fontId="74" fillId="61" borderId="0" applyBorder="0">
      <alignment horizontal="centerContinuous"/>
    </xf>
    <xf numFmtId="170" fontId="74" fillId="61" borderId="0" applyBorder="0">
      <alignment horizontal="centerContinuous"/>
    </xf>
    <xf numFmtId="0" fontId="74" fillId="61" borderId="0" applyBorder="0">
      <alignment horizontal="centerContinuous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6" fillId="0" borderId="0" applyNumberFormat="0" applyFont="0" applyFill="0" applyBorder="0" applyAlignment="0" applyProtection="0">
      <alignment horizontal="left"/>
    </xf>
    <xf numFmtId="15" fontId="66" fillId="0" borderId="0" applyFont="0" applyFill="0" applyBorder="0" applyAlignment="0" applyProtection="0"/>
    <xf numFmtId="4" fontId="66" fillId="0" borderId="0" applyFont="0" applyFill="0" applyBorder="0" applyAlignment="0" applyProtection="0"/>
    <xf numFmtId="0" fontId="75" fillId="0" borderId="5">
      <alignment horizontal="center"/>
    </xf>
    <xf numFmtId="3" fontId="66" fillId="0" borderId="0" applyFont="0" applyFill="0" applyBorder="0" applyAlignment="0" applyProtection="0"/>
    <xf numFmtId="0" fontId="66" fillId="62" borderId="0" applyNumberFormat="0" applyFont="0" applyBorder="0" applyAlignment="0" applyProtection="0"/>
    <xf numFmtId="0" fontId="59" fillId="59" borderId="0">
      <alignment horizontal="center"/>
    </xf>
    <xf numFmtId="49" fontId="76" fillId="57" borderId="0">
      <alignment horizontal="center"/>
    </xf>
    <xf numFmtId="0" fontId="38" fillId="56" borderId="0">
      <alignment horizontal="center"/>
    </xf>
    <xf numFmtId="0" fontId="38" fillId="56" borderId="0">
      <alignment horizontal="centerContinuous"/>
    </xf>
    <xf numFmtId="0" fontId="77" fillId="57" borderId="0">
      <alignment horizontal="left"/>
    </xf>
    <xf numFmtId="49" fontId="77" fillId="57" borderId="0">
      <alignment horizontal="center"/>
    </xf>
    <xf numFmtId="0" fontId="37" fillId="56" borderId="0">
      <alignment horizontal="left"/>
    </xf>
    <xf numFmtId="49" fontId="77" fillId="57" borderId="0">
      <alignment horizontal="left"/>
    </xf>
    <xf numFmtId="0" fontId="37" fillId="56" borderId="0">
      <alignment horizontal="centerContinuous"/>
    </xf>
    <xf numFmtId="0" fontId="37" fillId="56" borderId="0">
      <alignment horizontal="right"/>
    </xf>
    <xf numFmtId="49" fontId="59" fillId="57" borderId="0">
      <alignment horizontal="left"/>
    </xf>
    <xf numFmtId="0" fontId="38" fillId="56" borderId="0">
      <alignment horizontal="right"/>
    </xf>
    <xf numFmtId="0" fontId="77" fillId="41" borderId="0">
      <alignment horizontal="center"/>
    </xf>
    <xf numFmtId="0" fontId="78" fillId="41" borderId="0">
      <alignment horizontal="center"/>
    </xf>
    <xf numFmtId="4" fontId="3" fillId="63" borderId="37" applyNumberFormat="0" applyProtection="0">
      <alignment vertical="center"/>
    </xf>
    <xf numFmtId="4" fontId="79" fillId="63" borderId="38" applyNumberFormat="0" applyProtection="0">
      <alignment vertical="center"/>
    </xf>
    <xf numFmtId="4" fontId="3" fillId="63" borderId="37" applyNumberFormat="0" applyProtection="0">
      <alignment horizontal="left" vertical="center" indent="1"/>
    </xf>
    <xf numFmtId="0" fontId="3" fillId="64" borderId="38" applyNumberFormat="0" applyProtection="0">
      <alignment horizontal="left" vertical="top" indent="1"/>
    </xf>
    <xf numFmtId="4" fontId="3" fillId="65" borderId="0" applyNumberFormat="0" applyProtection="0">
      <alignment horizontal="left" vertical="center" indent="1"/>
    </xf>
    <xf numFmtId="4" fontId="1" fillId="63" borderId="38" applyNumberFormat="0" applyProtection="0">
      <alignment horizontal="right" vertical="center"/>
    </xf>
    <xf numFmtId="4" fontId="80" fillId="66" borderId="38" applyNumberFormat="0" applyProtection="0">
      <alignment horizontal="right" vertical="center"/>
    </xf>
    <xf numFmtId="4" fontId="80" fillId="67" borderId="38" applyNumberFormat="0" applyProtection="0">
      <alignment horizontal="right" vertical="center"/>
    </xf>
    <xf numFmtId="4" fontId="1" fillId="59" borderId="38" applyNumberFormat="0" applyProtection="0">
      <alignment horizontal="right" vertical="center"/>
    </xf>
    <xf numFmtId="4" fontId="1" fillId="42" borderId="38" applyNumberFormat="0" applyProtection="0">
      <alignment horizontal="right" vertical="center"/>
    </xf>
    <xf numFmtId="4" fontId="1" fillId="37" borderId="38" applyNumberFormat="0" applyProtection="0">
      <alignment horizontal="right" vertical="center"/>
    </xf>
    <xf numFmtId="4" fontId="80" fillId="51" borderId="38" applyNumberFormat="0" applyProtection="0">
      <alignment horizontal="right" vertical="center"/>
    </xf>
    <xf numFmtId="4" fontId="80" fillId="49" borderId="38" applyNumberFormat="0" applyProtection="0">
      <alignment horizontal="right" vertical="center"/>
    </xf>
    <xf numFmtId="4" fontId="1" fillId="48" borderId="38" applyNumberFormat="0" applyProtection="0">
      <alignment horizontal="right" vertical="center"/>
    </xf>
    <xf numFmtId="4" fontId="3" fillId="68" borderId="0" applyNumberFormat="0" applyProtection="0">
      <alignment horizontal="left" vertical="center" indent="1"/>
    </xf>
    <xf numFmtId="4" fontId="1" fillId="53" borderId="0" applyNumberFormat="0" applyProtection="0">
      <alignment horizontal="left" vertical="center" indent="1"/>
    </xf>
    <xf numFmtId="4" fontId="76" fillId="69" borderId="0" applyNumberFormat="0" applyProtection="0">
      <alignment horizontal="left" vertical="center" indent="1"/>
    </xf>
    <xf numFmtId="4" fontId="76" fillId="69" borderId="0" applyNumberFormat="0" applyProtection="0">
      <alignment horizontal="left" vertical="center" indent="1"/>
    </xf>
    <xf numFmtId="4" fontId="1" fillId="53" borderId="37" applyNumberFormat="0" applyProtection="0">
      <alignment horizontal="right" vertical="center"/>
    </xf>
    <xf numFmtId="4" fontId="1" fillId="53" borderId="0" applyNumberFormat="0" applyProtection="0">
      <alignment horizontal="left" vertical="center" indent="1"/>
    </xf>
    <xf numFmtId="4" fontId="1" fillId="64" borderId="0" applyNumberFormat="0" applyProtection="0">
      <alignment horizontal="left" vertical="center" indent="1"/>
    </xf>
    <xf numFmtId="0" fontId="1" fillId="53" borderId="37" applyNumberFormat="0" applyProtection="0">
      <alignment horizontal="left" vertical="center" indent="1"/>
    </xf>
    <xf numFmtId="0" fontId="1" fillId="53" borderId="37" applyNumberFormat="0" applyProtection="0">
      <alignment horizontal="left" vertical="center" indent="1"/>
    </xf>
    <xf numFmtId="0" fontId="1" fillId="53" borderId="38" applyNumberFormat="0" applyProtection="0">
      <alignment horizontal="left" vertical="top" indent="1"/>
    </xf>
    <xf numFmtId="0" fontId="1" fillId="53" borderId="38" applyNumberFormat="0" applyProtection="0">
      <alignment horizontal="left" vertical="top" indent="1"/>
    </xf>
    <xf numFmtId="0" fontId="1" fillId="53" borderId="37" applyNumberFormat="0" applyProtection="0">
      <alignment horizontal="left" vertical="center" indent="1"/>
    </xf>
    <xf numFmtId="0" fontId="1" fillId="53" borderId="37" applyNumberFormat="0" applyProtection="0">
      <alignment horizontal="left" vertical="center" indent="1"/>
    </xf>
    <xf numFmtId="0" fontId="1" fillId="53" borderId="38" applyNumberFormat="0" applyProtection="0">
      <alignment horizontal="left" vertical="top" indent="1"/>
    </xf>
    <xf numFmtId="0" fontId="1" fillId="53" borderId="38" applyNumberFormat="0" applyProtection="0">
      <alignment horizontal="left" vertical="top" indent="1"/>
    </xf>
    <xf numFmtId="0" fontId="1" fillId="53" borderId="37" applyNumberFormat="0" applyProtection="0">
      <alignment horizontal="left" vertical="center" indent="1"/>
    </xf>
    <xf numFmtId="0" fontId="1" fillId="53" borderId="37" applyNumberFormat="0" applyProtection="0">
      <alignment horizontal="left" vertical="center" indent="1"/>
    </xf>
    <xf numFmtId="0" fontId="1" fillId="53" borderId="38" applyNumberFormat="0" applyProtection="0">
      <alignment horizontal="left" vertical="top" indent="1"/>
    </xf>
    <xf numFmtId="0" fontId="1" fillId="53" borderId="38" applyNumberFormat="0" applyProtection="0">
      <alignment horizontal="left" vertical="top" indent="1"/>
    </xf>
    <xf numFmtId="0" fontId="1" fillId="53" borderId="37" applyNumberFormat="0" applyProtection="0">
      <alignment horizontal="left" vertical="center" indent="1"/>
    </xf>
    <xf numFmtId="0" fontId="1" fillId="53" borderId="37" applyNumberFormat="0" applyProtection="0">
      <alignment horizontal="left" vertical="center" indent="1"/>
    </xf>
    <xf numFmtId="0" fontId="1" fillId="53" borderId="38" applyNumberFormat="0" applyProtection="0">
      <alignment horizontal="left" vertical="top" indent="1"/>
    </xf>
    <xf numFmtId="0" fontId="1" fillId="53" borderId="38" applyNumberFormat="0" applyProtection="0">
      <alignment horizontal="left" vertical="top" indent="1"/>
    </xf>
    <xf numFmtId="4" fontId="72" fillId="70" borderId="38" applyNumberFormat="0" applyProtection="0">
      <alignment vertical="center"/>
    </xf>
    <xf numFmtId="4" fontId="81" fillId="70" borderId="38" applyNumberFormat="0" applyProtection="0">
      <alignment vertical="center"/>
    </xf>
    <xf numFmtId="4" fontId="1" fillId="53" borderId="38" applyNumberFormat="0" applyProtection="0">
      <alignment horizontal="left" vertical="center" indent="1"/>
    </xf>
    <xf numFmtId="0" fontId="1" fillId="53" borderId="38" applyNumberFormat="0" applyProtection="0">
      <alignment horizontal="left" vertical="top" indent="1"/>
    </xf>
    <xf numFmtId="4" fontId="1" fillId="71" borderId="37" applyNumberFormat="0" applyProtection="0">
      <alignment horizontal="right" vertical="center"/>
    </xf>
    <xf numFmtId="4" fontId="3" fillId="71" borderId="37" applyNumberFormat="0" applyProtection="0">
      <alignment horizontal="right" vertical="center"/>
    </xf>
    <xf numFmtId="4" fontId="1" fillId="53" borderId="37" applyNumberFormat="0" applyProtection="0">
      <alignment horizontal="left" vertical="center" indent="1"/>
    </xf>
    <xf numFmtId="0" fontId="1" fillId="53" borderId="37" applyNumberFormat="0" applyProtection="0">
      <alignment horizontal="left" vertical="top" indent="1"/>
    </xf>
    <xf numFmtId="4" fontId="82" fillId="0" borderId="0" applyNumberFormat="0" applyProtection="0">
      <alignment horizontal="left" vertical="center" indent="1"/>
    </xf>
    <xf numFmtId="4" fontId="1" fillId="0" borderId="38" applyNumberFormat="0" applyProtection="0">
      <alignment horizontal="right" vertical="center"/>
    </xf>
    <xf numFmtId="0" fontId="1" fillId="0" borderId="39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70" fontId="14" fillId="0" borderId="0" applyNumberFormat="0" applyFill="0" applyBorder="0" applyAlignment="0" applyProtection="0"/>
    <xf numFmtId="17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83" fillId="0" borderId="0" applyNumberFormat="0" applyFill="0" applyBorder="0" applyAlignment="0" applyProtection="0"/>
    <xf numFmtId="171" fontId="83" fillId="0" borderId="0" applyNumberFormat="0" applyFill="0" applyBorder="0" applyAlignment="0" applyProtection="0"/>
    <xf numFmtId="171" fontId="83" fillId="0" borderId="0" applyNumberFormat="0" applyFill="0" applyBorder="0" applyAlignment="0" applyProtection="0"/>
    <xf numFmtId="171" fontId="83" fillId="0" borderId="0" applyNumberFormat="0" applyFill="0" applyBorder="0" applyAlignment="0" applyProtection="0"/>
    <xf numFmtId="171" fontId="83" fillId="0" borderId="0" applyNumberFormat="0" applyFill="0" applyBorder="0" applyAlignment="0" applyProtection="0"/>
    <xf numFmtId="171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84" fillId="0" borderId="40" applyNumberFormat="0" applyFill="0" applyAlignment="0" applyProtection="0"/>
    <xf numFmtId="170" fontId="85" fillId="0" borderId="25" applyNumberFormat="0" applyFill="0" applyAlignment="0" applyProtection="0"/>
    <xf numFmtId="170" fontId="85" fillId="0" borderId="25" applyNumberFormat="0" applyFill="0" applyAlignment="0" applyProtection="0"/>
    <xf numFmtId="0" fontId="1" fillId="0" borderId="41" applyNumberFormat="0" applyFont="0" applyFill="0" applyAlignment="0" applyProtection="0"/>
    <xf numFmtId="0" fontId="1" fillId="0" borderId="41" applyNumberFormat="0" applyFont="0" applyFill="0" applyAlignment="0" applyProtection="0"/>
    <xf numFmtId="0" fontId="1" fillId="0" borderId="41" applyNumberFormat="0" applyFont="0" applyFill="0" applyAlignment="0" applyProtection="0"/>
    <xf numFmtId="0" fontId="1" fillId="0" borderId="41" applyNumberFormat="0" applyFont="0" applyFill="0" applyAlignment="0" applyProtection="0"/>
    <xf numFmtId="171" fontId="84" fillId="0" borderId="40" applyNumberFormat="0" applyFill="0" applyAlignment="0" applyProtection="0"/>
    <xf numFmtId="171" fontId="84" fillId="0" borderId="40" applyNumberFormat="0" applyFill="0" applyAlignment="0" applyProtection="0"/>
    <xf numFmtId="171" fontId="84" fillId="0" borderId="40" applyNumberFormat="0" applyFill="0" applyAlignment="0" applyProtection="0"/>
    <xf numFmtId="171" fontId="84" fillId="0" borderId="40" applyNumberFormat="0" applyFill="0" applyAlignment="0" applyProtection="0"/>
    <xf numFmtId="171" fontId="84" fillId="0" borderId="40" applyNumberFormat="0" applyFill="0" applyAlignment="0" applyProtection="0"/>
    <xf numFmtId="0" fontId="84" fillId="0" borderId="40" applyNumberFormat="0" applyFill="0" applyAlignment="0" applyProtection="0"/>
    <xf numFmtId="0" fontId="67" fillId="0" borderId="0"/>
    <xf numFmtId="0" fontId="67" fillId="0" borderId="0"/>
    <xf numFmtId="0" fontId="86" fillId="57" borderId="0">
      <alignment horizontal="center"/>
    </xf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0" fontId="88" fillId="0" borderId="0" applyNumberFormat="0" applyFill="0" applyBorder="0" applyAlignment="0" applyProtection="0"/>
    <xf numFmtId="17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1" fontId="87" fillId="0" borderId="0" applyNumberFormat="0" applyFill="0" applyBorder="0" applyAlignment="0" applyProtection="0"/>
    <xf numFmtId="171" fontId="87" fillId="0" borderId="0" applyNumberFormat="0" applyFill="0" applyBorder="0" applyAlignment="0" applyProtection="0"/>
    <xf numFmtId="171" fontId="87" fillId="0" borderId="0" applyNumberFormat="0" applyFill="0" applyBorder="0" applyAlignment="0" applyProtection="0"/>
    <xf numFmtId="171" fontId="87" fillId="0" borderId="0" applyNumberFormat="0" applyFill="0" applyBorder="0" applyAlignment="0" applyProtection="0"/>
    <xf numFmtId="171" fontId="87" fillId="0" borderId="0" applyNumberFormat="0" applyFill="0" applyBorder="0" applyAlignment="0" applyProtection="0"/>
    <xf numFmtId="171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</cellStyleXfs>
  <cellXfs count="188">
    <xf numFmtId="0" fontId="0" fillId="0" borderId="0" xfId="0"/>
    <xf numFmtId="43" fontId="2" fillId="0" borderId="2" xfId="1" quotePrefix="1" applyFont="1" applyBorder="1" applyAlignment="1" applyProtection="1">
      <alignment horizontal="center"/>
    </xf>
    <xf numFmtId="43" fontId="2" fillId="0" borderId="1" xfId="1" quotePrefix="1" applyFont="1" applyBorder="1" applyAlignment="1" applyProtection="1">
      <alignment horizontal="center"/>
    </xf>
    <xf numFmtId="43" fontId="2" fillId="0" borderId="3" xfId="1" quotePrefix="1" applyFont="1" applyBorder="1" applyAlignment="1" applyProtection="1">
      <alignment horizontal="center"/>
    </xf>
    <xf numFmtId="164" fontId="2" fillId="0" borderId="1" xfId="1" quotePrefix="1" applyNumberFormat="1" applyFont="1" applyBorder="1" applyAlignment="1" applyProtection="1">
      <alignment horizontal="center"/>
    </xf>
    <xf numFmtId="164" fontId="2" fillId="0" borderId="0" xfId="1" quotePrefix="1" applyNumberFormat="1" applyFont="1" applyBorder="1" applyAlignment="1" applyProtection="1">
      <alignment horizontal="center"/>
    </xf>
    <xf numFmtId="166" fontId="2" fillId="0" borderId="1" xfId="1" quotePrefix="1" applyNumberFormat="1" applyFont="1" applyBorder="1" applyAlignment="1" applyProtection="1">
      <alignment horizontal="center"/>
    </xf>
    <xf numFmtId="0" fontId="2" fillId="0" borderId="0" xfId="0" applyFont="1" applyBorder="1" applyProtection="1"/>
    <xf numFmtId="17" fontId="2" fillId="0" borderId="1" xfId="0" applyNumberFormat="1" applyFont="1" applyFill="1" applyBorder="1" applyProtection="1"/>
    <xf numFmtId="43" fontId="2" fillId="0" borderId="0" xfId="1" applyFont="1" applyFill="1" applyBorder="1" applyProtection="1"/>
    <xf numFmtId="164" fontId="2" fillId="0" borderId="0" xfId="1" applyNumberFormat="1" applyFont="1" applyFill="1" applyBorder="1" applyProtection="1"/>
    <xf numFmtId="165" fontId="2" fillId="0" borderId="0" xfId="1" applyNumberFormat="1" applyFont="1" applyFill="1" applyBorder="1" applyProtection="1"/>
    <xf numFmtId="43" fontId="2" fillId="0" borderId="0" xfId="1" applyFont="1" applyBorder="1" applyProtection="1"/>
    <xf numFmtId="164" fontId="2" fillId="0" borderId="0" xfId="1" applyNumberFormat="1" applyFont="1" applyBorder="1" applyProtection="1"/>
    <xf numFmtId="165" fontId="2" fillId="0" borderId="0" xfId="1" applyNumberFormat="1" applyFont="1" applyBorder="1" applyProtection="1"/>
    <xf numFmtId="166" fontId="2" fillId="0" borderId="0" xfId="1" applyNumberFormat="1" applyFont="1" applyBorder="1" applyProtection="1"/>
    <xf numFmtId="43" fontId="2" fillId="0" borderId="1" xfId="1" applyFont="1" applyBorder="1" applyProtection="1"/>
    <xf numFmtId="164" fontId="2" fillId="0" borderId="2" xfId="1" applyNumberFormat="1" applyFont="1" applyBorder="1" applyProtection="1"/>
    <xf numFmtId="164" fontId="2" fillId="0" borderId="1" xfId="1" applyNumberFormat="1" applyFont="1" applyBorder="1" applyProtection="1"/>
    <xf numFmtId="0" fontId="2" fillId="0" borderId="1" xfId="0" applyFont="1" applyBorder="1" applyProtection="1"/>
    <xf numFmtId="0" fontId="0" fillId="0" borderId="1" xfId="0" applyBorder="1" applyProtection="1"/>
    <xf numFmtId="164" fontId="3" fillId="0" borderId="7" xfId="1" applyNumberFormat="1" applyFont="1" applyBorder="1" applyAlignment="1" applyProtection="1">
      <alignment horizontal="center"/>
    </xf>
    <xf numFmtId="164" fontId="0" fillId="0" borderId="7" xfId="1" applyNumberFormat="1" applyFont="1" applyBorder="1" applyProtection="1"/>
    <xf numFmtId="164" fontId="0" fillId="0" borderId="4" xfId="1" applyNumberFormat="1" applyFont="1" applyBorder="1" applyProtection="1"/>
    <xf numFmtId="43" fontId="0" fillId="0" borderId="5" xfId="1" applyFont="1" applyBorder="1" applyProtection="1"/>
    <xf numFmtId="165" fontId="3" fillId="0" borderId="7" xfId="1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43" fontId="0" fillId="0" borderId="0" xfId="1" applyFont="1" applyProtection="1"/>
    <xf numFmtId="43" fontId="0" fillId="0" borderId="8" xfId="1" applyFont="1" applyBorder="1" applyProtection="1"/>
    <xf numFmtId="43" fontId="0" fillId="0" borderId="9" xfId="1" applyFont="1" applyBorder="1" applyProtection="1"/>
    <xf numFmtId="43" fontId="2" fillId="0" borderId="2" xfId="1" applyFont="1" applyBorder="1" applyAlignment="1" applyProtection="1">
      <alignment horizontal="center"/>
    </xf>
    <xf numFmtId="164" fontId="2" fillId="0" borderId="2" xfId="1" applyNumberFormat="1" applyFont="1" applyBorder="1" applyAlignment="1" applyProtection="1">
      <alignment horizontal="center"/>
    </xf>
    <xf numFmtId="165" fontId="2" fillId="0" borderId="2" xfId="1" applyNumberFormat="1" applyFont="1" applyBorder="1" applyAlignment="1" applyProtection="1">
      <alignment horizontal="center"/>
    </xf>
    <xf numFmtId="164" fontId="3" fillId="0" borderId="2" xfId="1" applyNumberFormat="1" applyFont="1" applyBorder="1" applyAlignment="1" applyProtection="1">
      <alignment horizontal="center"/>
    </xf>
    <xf numFmtId="43" fontId="2" fillId="0" borderId="10" xfId="1" applyFont="1" applyBorder="1" applyAlignment="1" applyProtection="1">
      <alignment horizontal="center"/>
    </xf>
    <xf numFmtId="164" fontId="2" fillId="0" borderId="10" xfId="1" applyNumberFormat="1" applyFont="1" applyBorder="1" applyAlignment="1" applyProtection="1">
      <alignment horizontal="center"/>
    </xf>
    <xf numFmtId="166" fontId="2" fillId="0" borderId="12" xfId="1" applyNumberFormat="1" applyFont="1" applyBorder="1" applyAlignment="1" applyProtection="1">
      <alignment horizontal="center"/>
    </xf>
    <xf numFmtId="166" fontId="2" fillId="0" borderId="1" xfId="1" applyNumberFormat="1" applyFont="1" applyBorder="1" applyAlignment="1" applyProtection="1">
      <alignment horizontal="center"/>
    </xf>
    <xf numFmtId="43" fontId="2" fillId="0" borderId="12" xfId="1" applyFont="1" applyBorder="1" applyAlignment="1" applyProtection="1">
      <alignment horizontal="center"/>
    </xf>
    <xf numFmtId="43" fontId="2" fillId="0" borderId="1" xfId="1" applyFont="1" applyBorder="1" applyAlignment="1" applyProtection="1">
      <alignment horizontal="center" wrapText="1"/>
    </xf>
    <xf numFmtId="166" fontId="2" fillId="0" borderId="2" xfId="1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wrapText="1"/>
    </xf>
    <xf numFmtId="166" fontId="2" fillId="0" borderId="2" xfId="1" quotePrefix="1" applyNumberFormat="1" applyFont="1" applyBorder="1" applyAlignment="1" applyProtection="1">
      <alignment horizontal="center"/>
    </xf>
    <xf numFmtId="0" fontId="2" fillId="0" borderId="1" xfId="1" quotePrefix="1" applyNumberFormat="1" applyFont="1" applyBorder="1" applyAlignment="1" applyProtection="1">
      <alignment horizontal="center"/>
    </xf>
    <xf numFmtId="43" fontId="2" fillId="0" borderId="0" xfId="1" applyFont="1" applyBorder="1" applyProtection="1">
      <protection locked="0"/>
    </xf>
    <xf numFmtId="164" fontId="2" fillId="0" borderId="0" xfId="1" applyNumberFormat="1" applyFont="1" applyBorder="1" applyProtection="1">
      <protection locked="0"/>
    </xf>
    <xf numFmtId="43" fontId="2" fillId="0" borderId="0" xfId="1" applyNumberFormat="1" applyFont="1" applyBorder="1" applyProtection="1"/>
    <xf numFmtId="166" fontId="2" fillId="0" borderId="0" xfId="1" applyNumberFormat="1" applyFont="1" applyBorder="1" applyProtection="1">
      <protection locked="0"/>
    </xf>
    <xf numFmtId="0" fontId="2" fillId="0" borderId="0" xfId="0" applyFont="1" applyBorder="1" applyProtection="1">
      <protection locked="0"/>
    </xf>
    <xf numFmtId="43" fontId="2" fillId="0" borderId="0" xfId="0" applyNumberFormat="1" applyFont="1" applyBorder="1" applyProtection="1">
      <protection locked="0"/>
    </xf>
    <xf numFmtId="164" fontId="2" fillId="0" borderId="2" xfId="1" applyNumberFormat="1" applyFont="1" applyBorder="1" applyAlignment="1" applyProtection="1">
      <alignment horizontal="center" wrapText="1"/>
    </xf>
    <xf numFmtId="0" fontId="2" fillId="0" borderId="0" xfId="0" applyNumberFormat="1" applyFont="1" applyFill="1" applyBorder="1" applyProtection="1"/>
    <xf numFmtId="43" fontId="2" fillId="0" borderId="2" xfId="1" applyFont="1" applyBorder="1" applyAlignment="1" applyProtection="1">
      <alignment horizontal="center" wrapText="1"/>
    </xf>
    <xf numFmtId="43" fontId="2" fillId="0" borderId="3" xfId="1" applyFont="1" applyBorder="1" applyAlignment="1" applyProtection="1">
      <alignment horizontal="center" wrapText="1"/>
    </xf>
    <xf numFmtId="164" fontId="2" fillId="0" borderId="1" xfId="1" applyNumberFormat="1" applyFont="1" applyBorder="1" applyAlignment="1" applyProtection="1">
      <alignment horizontal="center" wrapText="1"/>
    </xf>
    <xf numFmtId="164" fontId="2" fillId="0" borderId="0" xfId="1" applyNumberFormat="1" applyFont="1" applyBorder="1" applyAlignment="1" applyProtection="1">
      <alignment horizontal="center" wrapText="1"/>
    </xf>
    <xf numFmtId="0" fontId="3" fillId="0" borderId="8" xfId="0" applyFont="1" applyBorder="1" applyProtection="1"/>
    <xf numFmtId="0" fontId="2" fillId="0" borderId="8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" fillId="0" borderId="0" xfId="0" applyNumberFormat="1" applyFont="1" applyFill="1" applyBorder="1" applyProtection="1"/>
    <xf numFmtId="43" fontId="2" fillId="0" borderId="0" xfId="0" applyNumberFormat="1" applyFont="1" applyFill="1" applyBorder="1" applyProtection="1">
      <protection locked="0"/>
    </xf>
    <xf numFmtId="164" fontId="1" fillId="0" borderId="0" xfId="1" applyNumberFormat="1" applyFont="1" applyFill="1" applyBorder="1" applyProtection="1"/>
    <xf numFmtId="43" fontId="1" fillId="0" borderId="0" xfId="1" applyFont="1" applyFill="1" applyBorder="1" applyProtection="1"/>
    <xf numFmtId="166" fontId="1" fillId="0" borderId="0" xfId="1" applyNumberFormat="1" applyFont="1" applyFill="1" applyBorder="1" applyProtection="1">
      <protection locked="0"/>
    </xf>
    <xf numFmtId="165" fontId="1" fillId="0" borderId="0" xfId="1" applyNumberFormat="1" applyFont="1" applyFill="1" applyBorder="1" applyProtection="1"/>
    <xf numFmtId="43" fontId="1" fillId="0" borderId="0" xfId="1" applyFont="1" applyFill="1" applyBorder="1" applyProtection="1">
      <protection locked="0"/>
    </xf>
    <xf numFmtId="164" fontId="1" fillId="0" borderId="0" xfId="1" applyNumberFormat="1" applyFont="1" applyBorder="1" applyProtection="1">
      <protection locked="0"/>
    </xf>
    <xf numFmtId="43" fontId="2" fillId="0" borderId="0" xfId="0" applyNumberFormat="1" applyFont="1" applyFill="1" applyBorder="1" applyProtection="1"/>
    <xf numFmtId="43" fontId="2" fillId="2" borderId="0" xfId="1" applyFont="1" applyFill="1" applyBorder="1" applyProtection="1"/>
    <xf numFmtId="43" fontId="2" fillId="3" borderId="0" xfId="0" applyNumberFormat="1" applyFont="1" applyFill="1" applyBorder="1" applyProtection="1"/>
    <xf numFmtId="164" fontId="3" fillId="0" borderId="3" xfId="1" applyNumberFormat="1" applyFont="1" applyBorder="1" applyAlignment="1" applyProtection="1">
      <alignment horizontal="left"/>
    </xf>
    <xf numFmtId="164" fontId="3" fillId="0" borderId="2" xfId="1" applyNumberFormat="1" applyFont="1" applyBorder="1" applyAlignment="1" applyProtection="1">
      <alignment horizontal="left"/>
    </xf>
    <xf numFmtId="165" fontId="1" fillId="0" borderId="0" xfId="1" applyNumberFormat="1" applyFont="1" applyBorder="1" applyProtection="1"/>
    <xf numFmtId="43" fontId="2" fillId="3" borderId="0" xfId="0" applyNumberFormat="1" applyFont="1" applyFill="1" applyBorder="1" applyProtection="1">
      <protection locked="0"/>
    </xf>
    <xf numFmtId="164" fontId="1" fillId="0" borderId="2" xfId="1" applyNumberFormat="1" applyFont="1" applyBorder="1" applyAlignment="1" applyProtection="1">
      <alignment horizontal="center"/>
    </xf>
    <xf numFmtId="43" fontId="1" fillId="0" borderId="2" xfId="1" applyFont="1" applyBorder="1" applyAlignment="1" applyProtection="1">
      <alignment horizontal="center" wrapText="1"/>
    </xf>
    <xf numFmtId="43" fontId="1" fillId="0" borderId="0" xfId="1" quotePrefix="1" applyFont="1" applyBorder="1" applyAlignment="1" applyProtection="1">
      <alignment horizontal="center" wrapText="1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 wrapText="1"/>
    </xf>
    <xf numFmtId="164" fontId="2" fillId="0" borderId="0" xfId="0" applyNumberFormat="1" applyFont="1" applyBorder="1" applyProtection="1"/>
    <xf numFmtId="164" fontId="1" fillId="0" borderId="0" xfId="0" applyNumberFormat="1" applyFont="1" applyFill="1" applyBorder="1" applyProtection="1"/>
    <xf numFmtId="0" fontId="1" fillId="0" borderId="8" xfId="0" applyFont="1" applyBorder="1" applyProtection="1"/>
    <xf numFmtId="43" fontId="2" fillId="0" borderId="16" xfId="1" applyFont="1" applyBorder="1" applyAlignment="1" applyProtection="1">
      <alignment horizontal="center"/>
    </xf>
    <xf numFmtId="43" fontId="3" fillId="0" borderId="0" xfId="1" applyFont="1" applyBorder="1" applyProtection="1"/>
    <xf numFmtId="166" fontId="2" fillId="0" borderId="0" xfId="0" applyNumberFormat="1" applyFont="1" applyBorder="1" applyProtection="1"/>
    <xf numFmtId="165" fontId="3" fillId="0" borderId="2" xfId="1" applyNumberFormat="1" applyFont="1" applyBorder="1" applyAlignment="1" applyProtection="1">
      <alignment horizontal="center"/>
    </xf>
    <xf numFmtId="0" fontId="1" fillId="0" borderId="0" xfId="0" quotePrefix="1" applyFont="1" applyBorder="1" applyAlignment="1" applyProtection="1">
      <alignment horizontal="center" wrapText="1"/>
    </xf>
    <xf numFmtId="167" fontId="2" fillId="0" borderId="0" xfId="0" applyNumberFormat="1" applyFont="1" applyBorder="1" applyProtection="1"/>
    <xf numFmtId="43" fontId="3" fillId="0" borderId="3" xfId="1" applyFont="1" applyBorder="1" applyAlignment="1" applyProtection="1">
      <alignment horizontal="center"/>
    </xf>
    <xf numFmtId="43" fontId="3" fillId="0" borderId="0" xfId="1" applyFont="1" applyBorder="1" applyAlignment="1" applyProtection="1">
      <alignment horizontal="center"/>
    </xf>
    <xf numFmtId="43" fontId="3" fillId="0" borderId="1" xfId="1" applyFont="1" applyBorder="1" applyAlignment="1" applyProtection="1">
      <alignment horizontal="center"/>
    </xf>
    <xf numFmtId="43" fontId="3" fillId="0" borderId="4" xfId="1" applyFont="1" applyBorder="1" applyAlignment="1" applyProtection="1">
      <alignment horizontal="center"/>
    </xf>
    <xf numFmtId="43" fontId="3" fillId="0" borderId="5" xfId="1" applyFont="1" applyBorder="1" applyAlignment="1" applyProtection="1">
      <alignment horizontal="center"/>
    </xf>
    <xf numFmtId="43" fontId="3" fillId="0" borderId="6" xfId="1" applyFont="1" applyBorder="1" applyAlignment="1" applyProtection="1">
      <alignment horizontal="center"/>
    </xf>
    <xf numFmtId="43" fontId="2" fillId="0" borderId="11" xfId="1" applyFont="1" applyBorder="1" applyAlignment="1" applyProtection="1">
      <alignment horizontal="center"/>
    </xf>
    <xf numFmtId="43" fontId="2" fillId="0" borderId="9" xfId="1" applyFont="1" applyBorder="1" applyAlignment="1" applyProtection="1">
      <alignment horizontal="center"/>
    </xf>
    <xf numFmtId="43" fontId="3" fillId="0" borderId="3" xfId="1" quotePrefix="1" applyFont="1" applyBorder="1" applyAlignment="1" applyProtection="1">
      <alignment horizontal="center"/>
    </xf>
    <xf numFmtId="164" fontId="2" fillId="0" borderId="3" xfId="1" applyNumberFormat="1" applyFont="1" applyBorder="1" applyAlignment="1" applyProtection="1">
      <alignment horizontal="center"/>
    </xf>
    <xf numFmtId="164" fontId="2" fillId="0" borderId="0" xfId="1" applyNumberFormat="1" applyFont="1" applyBorder="1" applyAlignment="1" applyProtection="1">
      <alignment horizontal="center"/>
    </xf>
    <xf numFmtId="164" fontId="2" fillId="0" borderId="1" xfId="1" applyNumberFormat="1" applyFont="1" applyBorder="1" applyAlignment="1" applyProtection="1">
      <alignment horizontal="center"/>
    </xf>
    <xf numFmtId="164" fontId="2" fillId="0" borderId="11" xfId="1" applyNumberFormat="1" applyFont="1" applyBorder="1" applyAlignment="1" applyProtection="1">
      <alignment horizontal="center"/>
    </xf>
    <xf numFmtId="164" fontId="2" fillId="0" borderId="8" xfId="1" applyNumberFormat="1" applyFont="1" applyBorder="1" applyAlignment="1" applyProtection="1">
      <alignment horizontal="center"/>
    </xf>
    <xf numFmtId="164" fontId="2" fillId="0" borderId="9" xfId="1" applyNumberFormat="1" applyFont="1" applyBorder="1" applyAlignment="1" applyProtection="1">
      <alignment horizontal="center"/>
    </xf>
    <xf numFmtId="164" fontId="3" fillId="0" borderId="0" xfId="1" applyNumberFormat="1" applyFont="1" applyBorder="1" applyAlignment="1" applyProtection="1">
      <alignment horizontal="center"/>
    </xf>
    <xf numFmtId="164" fontId="3" fillId="0" borderId="3" xfId="1" applyNumberFormat="1" applyFont="1" applyBorder="1" applyAlignment="1" applyProtection="1">
      <alignment horizontal="center"/>
    </xf>
    <xf numFmtId="164" fontId="3" fillId="0" borderId="1" xfId="1" applyNumberFormat="1" applyFont="1" applyBorder="1" applyAlignment="1" applyProtection="1">
      <alignment horizontal="center"/>
    </xf>
    <xf numFmtId="164" fontId="3" fillId="0" borderId="4" xfId="1" applyNumberFormat="1" applyFont="1" applyBorder="1" applyAlignment="1" applyProtection="1">
      <alignment horizontal="center"/>
    </xf>
    <xf numFmtId="164" fontId="3" fillId="0" borderId="5" xfId="1" applyNumberFormat="1" applyFont="1" applyBorder="1" applyAlignment="1" applyProtection="1">
      <alignment horizontal="center"/>
    </xf>
    <xf numFmtId="164" fontId="3" fillId="0" borderId="6" xfId="1" applyNumberFormat="1" applyFont="1" applyBorder="1" applyAlignment="1" applyProtection="1">
      <alignment horizontal="center"/>
    </xf>
    <xf numFmtId="164" fontId="2" fillId="0" borderId="15" xfId="1" applyNumberFormat="1" applyFont="1" applyBorder="1" applyAlignment="1" applyProtection="1">
      <alignment horizontal="center"/>
    </xf>
    <xf numFmtId="164" fontId="2" fillId="0" borderId="13" xfId="1" applyNumberFormat="1" applyFont="1" applyBorder="1" applyAlignment="1" applyProtection="1">
      <alignment horizontal="center"/>
    </xf>
    <xf numFmtId="164" fontId="2" fillId="0" borderId="14" xfId="1" applyNumberFormat="1" applyFont="1" applyBorder="1" applyAlignment="1" applyProtection="1">
      <alignment horizontal="center"/>
    </xf>
    <xf numFmtId="164" fontId="3" fillId="0" borderId="8" xfId="1" applyNumberFormat="1" applyFont="1" applyBorder="1" applyAlignment="1" applyProtection="1">
      <alignment horizontal="center"/>
    </xf>
    <xf numFmtId="164" fontId="3" fillId="0" borderId="9" xfId="1" applyNumberFormat="1" applyFont="1" applyBorder="1" applyAlignment="1" applyProtection="1">
      <alignment horizontal="center"/>
    </xf>
    <xf numFmtId="43" fontId="2" fillId="0" borderId="13" xfId="1" quotePrefix="1" applyFont="1" applyBorder="1" applyAlignment="1" applyProtection="1">
      <alignment horizontal="center"/>
    </xf>
    <xf numFmtId="43" fontId="2" fillId="0" borderId="14" xfId="1" applyFont="1" applyBorder="1" applyAlignment="1" applyProtection="1">
      <alignment horizontal="center"/>
    </xf>
    <xf numFmtId="43" fontId="2" fillId="0" borderId="3" xfId="1" applyFont="1" applyBorder="1" applyAlignment="1" applyProtection="1">
      <alignment horizontal="center"/>
    </xf>
    <xf numFmtId="43" fontId="2" fillId="0" borderId="1" xfId="1" applyFont="1" applyBorder="1" applyAlignment="1" applyProtection="1">
      <alignment horizontal="center"/>
    </xf>
    <xf numFmtId="43" fontId="2" fillId="0" borderId="8" xfId="1" quotePrefix="1" applyFont="1" applyBorder="1" applyAlignment="1" applyProtection="1">
      <alignment horizontal="center"/>
    </xf>
    <xf numFmtId="43" fontId="2" fillId="0" borderId="8" xfId="1" applyFont="1" applyBorder="1" applyAlignment="1" applyProtection="1">
      <alignment horizontal="center"/>
    </xf>
    <xf numFmtId="43" fontId="2" fillId="0" borderId="13" xfId="1" applyFont="1" applyBorder="1" applyAlignment="1" applyProtection="1">
      <alignment horizontal="center"/>
    </xf>
    <xf numFmtId="43" fontId="2" fillId="0" borderId="0" xfId="1" quotePrefix="1" applyFont="1" applyBorder="1" applyAlignment="1" applyProtection="1">
      <alignment horizontal="center"/>
    </xf>
    <xf numFmtId="43" fontId="2" fillId="0" borderId="0" xfId="1" applyFont="1" applyBorder="1" applyAlignment="1" applyProtection="1">
      <alignment horizontal="center"/>
    </xf>
    <xf numFmtId="43" fontId="2" fillId="0" borderId="11" xfId="1" quotePrefix="1" applyFont="1" applyBorder="1" applyAlignment="1" applyProtection="1">
      <alignment horizontal="center"/>
    </xf>
    <xf numFmtId="43" fontId="2" fillId="0" borderId="15" xfId="1" quotePrefix="1" applyFont="1" applyBorder="1" applyAlignment="1" applyProtection="1">
      <alignment horizontal="center"/>
    </xf>
    <xf numFmtId="0" fontId="18" fillId="0" borderId="0" xfId="4" applyFont="1"/>
    <xf numFmtId="17" fontId="18" fillId="0" borderId="0" xfId="4" applyNumberFormat="1" applyFont="1" applyAlignment="1">
      <alignment horizontal="center"/>
    </xf>
    <xf numFmtId="0" fontId="18" fillId="0" borderId="26" xfId="4" applyFont="1" applyBorder="1"/>
    <xf numFmtId="0" fontId="18" fillId="0" borderId="27" xfId="4" applyFont="1" applyBorder="1"/>
    <xf numFmtId="0" fontId="18" fillId="0" borderId="10" xfId="4" applyFont="1" applyBorder="1"/>
    <xf numFmtId="0" fontId="18" fillId="0" borderId="3" xfId="4" applyFont="1" applyBorder="1"/>
    <xf numFmtId="0" fontId="18" fillId="0" borderId="0" xfId="4" applyFont="1" applyBorder="1"/>
    <xf numFmtId="168" fontId="18" fillId="0" borderId="1" xfId="2" applyNumberFormat="1" applyFont="1" applyBorder="1"/>
    <xf numFmtId="164" fontId="18" fillId="0" borderId="1" xfId="4" applyNumberFormat="1" applyFont="1" applyBorder="1"/>
    <xf numFmtId="0" fontId="18" fillId="0" borderId="1" xfId="4" applyFont="1" applyBorder="1"/>
    <xf numFmtId="169" fontId="18" fillId="0" borderId="1" xfId="2" applyNumberFormat="1" applyFont="1" applyBorder="1"/>
    <xf numFmtId="169" fontId="18" fillId="0" borderId="1" xfId="4" applyNumberFormat="1" applyFont="1" applyBorder="1"/>
    <xf numFmtId="0" fontId="18" fillId="0" borderId="11" xfId="4" applyFont="1" applyBorder="1"/>
    <xf numFmtId="0" fontId="18" fillId="0" borderId="8" xfId="4" applyFont="1" applyBorder="1"/>
    <xf numFmtId="0" fontId="18" fillId="0" borderId="9" xfId="4" applyFont="1" applyBorder="1"/>
    <xf numFmtId="43" fontId="18" fillId="0" borderId="9" xfId="4" applyNumberFormat="1" applyFont="1" applyBorder="1"/>
    <xf numFmtId="164" fontId="19" fillId="0" borderId="1" xfId="4" applyNumberFormat="1" applyFont="1" applyBorder="1"/>
    <xf numFmtId="0" fontId="18" fillId="0" borderId="0" xfId="4" quotePrefix="1" applyFont="1" applyBorder="1" applyAlignment="1">
      <alignment horizontal="left"/>
    </xf>
    <xf numFmtId="0" fontId="18" fillId="0" borderId="3" xfId="4" quotePrefix="1" applyFont="1" applyBorder="1" applyAlignment="1">
      <alignment horizontal="left"/>
    </xf>
    <xf numFmtId="168" fontId="18" fillId="0" borderId="1" xfId="4" applyNumberFormat="1" applyFont="1" applyBorder="1"/>
    <xf numFmtId="164" fontId="18" fillId="0" borderId="1" xfId="1" applyNumberFormat="1" applyFont="1" applyBorder="1"/>
    <xf numFmtId="164" fontId="19" fillId="0" borderId="1" xfId="1" applyNumberFormat="1" applyFont="1" applyBorder="1"/>
    <xf numFmtId="164" fontId="18" fillId="0" borderId="9" xfId="4" applyNumberFormat="1" applyFont="1" applyBorder="1"/>
    <xf numFmtId="168" fontId="18" fillId="0" borderId="9" xfId="4" applyNumberFormat="1" applyFont="1" applyBorder="1"/>
    <xf numFmtId="0" fontId="18" fillId="0" borderId="0" xfId="4" quotePrefix="1" applyFont="1" applyAlignment="1">
      <alignment horizontal="left"/>
    </xf>
    <xf numFmtId="17" fontId="18" fillId="0" borderId="0" xfId="4" applyNumberFormat="1" applyFont="1"/>
    <xf numFmtId="0" fontId="18" fillId="0" borderId="0" xfId="4" applyFont="1" applyBorder="1" applyAlignment="1">
      <alignment horizontal="left"/>
    </xf>
    <xf numFmtId="10" fontId="18" fillId="0" borderId="1" xfId="3" applyNumberFormat="1" applyFont="1" applyBorder="1"/>
    <xf numFmtId="175" fontId="2" fillId="0" borderId="0" xfId="0" applyNumberFormat="1" applyFont="1" applyBorder="1" applyProtection="1"/>
    <xf numFmtId="37" fontId="41" fillId="0" borderId="0" xfId="825" applyFont="1" applyAlignment="1">
      <alignment horizontal="fill"/>
    </xf>
    <xf numFmtId="37" fontId="41" fillId="0" borderId="0" xfId="825" applyFont="1"/>
    <xf numFmtId="37" fontId="41" fillId="0" borderId="0" xfId="825" applyFont="1" applyAlignment="1">
      <alignment horizontal="left"/>
    </xf>
    <xf numFmtId="37" fontId="90" fillId="0" borderId="0" xfId="825" applyFont="1" applyAlignment="1">
      <alignment horizontal="right"/>
    </xf>
    <xf numFmtId="37" fontId="90" fillId="0" borderId="0" xfId="825" quotePrefix="1" applyFont="1" applyAlignment="1">
      <alignment horizontal="right"/>
    </xf>
    <xf numFmtId="37" fontId="90" fillId="0" borderId="0" xfId="825" applyFont="1" applyAlignment="1">
      <alignment horizontal="centerContinuous"/>
    </xf>
    <xf numFmtId="37" fontId="41" fillId="0" borderId="0" xfId="825" applyFont="1" applyAlignment="1"/>
    <xf numFmtId="37" fontId="41" fillId="0" borderId="0" xfId="825" applyFont="1" applyAlignment="1">
      <alignment horizontal="center"/>
    </xf>
    <xf numFmtId="0" fontId="41" fillId="0" borderId="0" xfId="846" applyFont="1"/>
    <xf numFmtId="0" fontId="41" fillId="0" borderId="0" xfId="846" applyFont="1" applyBorder="1" applyAlignment="1">
      <alignment horizontal="center"/>
    </xf>
    <xf numFmtId="0" fontId="41" fillId="0" borderId="0" xfId="846" applyFont="1" applyAlignment="1">
      <alignment horizontal="center"/>
    </xf>
    <xf numFmtId="37" fontId="41" fillId="0" borderId="0" xfId="825" applyFont="1" applyBorder="1"/>
    <xf numFmtId="0" fontId="41" fillId="0" borderId="8" xfId="846" applyFont="1" applyBorder="1" applyAlignment="1">
      <alignment horizontal="center"/>
    </xf>
    <xf numFmtId="37" fontId="41" fillId="0" borderId="0" xfId="825" applyFont="1" applyBorder="1" applyAlignment="1">
      <alignment horizontal="left"/>
    </xf>
    <xf numFmtId="17" fontId="41" fillId="0" borderId="0" xfId="846" applyNumberFormat="1" applyFont="1" applyAlignment="1">
      <alignment horizontal="center"/>
    </xf>
    <xf numFmtId="164" fontId="41" fillId="0" borderId="0" xfId="1" applyNumberFormat="1" applyFont="1" applyBorder="1"/>
    <xf numFmtId="17" fontId="41" fillId="0" borderId="0" xfId="847" applyNumberFormat="1" applyFont="1"/>
    <xf numFmtId="37" fontId="41" fillId="0" borderId="0" xfId="847" applyFont="1"/>
    <xf numFmtId="168" fontId="41" fillId="0" borderId="42" xfId="2" applyNumberFormat="1" applyFont="1" applyBorder="1"/>
    <xf numFmtId="168" fontId="41" fillId="0" borderId="0" xfId="2" applyNumberFormat="1" applyFont="1" applyBorder="1"/>
    <xf numFmtId="168" fontId="41" fillId="0" borderId="43" xfId="2" applyNumberFormat="1" applyFont="1" applyBorder="1"/>
    <xf numFmtId="0" fontId="41" fillId="0" borderId="0" xfId="846" quotePrefix="1" applyFont="1" applyAlignment="1">
      <alignment horizontal="left"/>
    </xf>
    <xf numFmtId="0" fontId="18" fillId="0" borderId="26" xfId="4" quotePrefix="1" applyFont="1" applyBorder="1" applyAlignment="1">
      <alignment horizontal="left"/>
    </xf>
    <xf numFmtId="0" fontId="41" fillId="0" borderId="8" xfId="846" quotePrefix="1" applyFont="1" applyBorder="1" applyAlignment="1">
      <alignment horizontal="center"/>
    </xf>
    <xf numFmtId="164" fontId="18" fillId="0" borderId="0" xfId="1" applyNumberFormat="1" applyFont="1"/>
    <xf numFmtId="37" fontId="91" fillId="0" borderId="0" xfId="825" applyFont="1" applyAlignment="1">
      <alignment horizontal="center"/>
    </xf>
    <xf numFmtId="37" fontId="91" fillId="0" borderId="0" xfId="825" quotePrefix="1" applyFont="1" applyAlignment="1">
      <alignment horizontal="center"/>
    </xf>
    <xf numFmtId="37" fontId="90" fillId="0" borderId="0" xfId="825" applyFont="1" applyAlignment="1">
      <alignment horizontal="center"/>
    </xf>
    <xf numFmtId="37" fontId="90" fillId="0" borderId="0" xfId="825" quotePrefix="1" applyFont="1" applyAlignment="1">
      <alignment horizontal="center"/>
    </xf>
    <xf numFmtId="168" fontId="18" fillId="0" borderId="0" xfId="4" applyNumberFormat="1" applyFont="1"/>
    <xf numFmtId="0" fontId="41" fillId="0" borderId="0" xfId="846" quotePrefix="1" applyFont="1" applyAlignment="1">
      <alignment horizontal="center"/>
    </xf>
    <xf numFmtId="168" fontId="41" fillId="0" borderId="43" xfId="2" applyNumberFormat="1" applyFont="1" applyFill="1" applyBorder="1"/>
    <xf numFmtId="37" fontId="41" fillId="0" borderId="0" xfId="825" quotePrefix="1" applyFont="1" applyAlignment="1">
      <alignment horizontal="left"/>
    </xf>
  </cellXfs>
  <cellStyles count="1093">
    <cellStyle name="_Row1" xfId="6"/>
    <cellStyle name="_Row1 2" xfId="7"/>
    <cellStyle name="20% - Accent1 10" xfId="8"/>
    <cellStyle name="20% - Accent1 11" xfId="9"/>
    <cellStyle name="20% - Accent1 12" xfId="10"/>
    <cellStyle name="20% - Accent1 13" xfId="11"/>
    <cellStyle name="20% - Accent1 14" xfId="12"/>
    <cellStyle name="20% - Accent1 15" xfId="13"/>
    <cellStyle name="20% - Accent1 16" xfId="14"/>
    <cellStyle name="20% - Accent1 2" xfId="15"/>
    <cellStyle name="20% - Accent1 2 2" xfId="16"/>
    <cellStyle name="20% - Accent1 3" xfId="17"/>
    <cellStyle name="20% - Accent1 4" xfId="18"/>
    <cellStyle name="20% - Accent1 5" xfId="19"/>
    <cellStyle name="20% - Accent1 6" xfId="20"/>
    <cellStyle name="20% - Accent1 7" xfId="21"/>
    <cellStyle name="20% - Accent1 8" xfId="22"/>
    <cellStyle name="20% - Accent1 9" xfId="23"/>
    <cellStyle name="20% - Accent2 10" xfId="24"/>
    <cellStyle name="20% - Accent2 11" xfId="25"/>
    <cellStyle name="20% - Accent2 12" xfId="26"/>
    <cellStyle name="20% - Accent2 13" xfId="27"/>
    <cellStyle name="20% - Accent2 14" xfId="28"/>
    <cellStyle name="20% - Accent2 15" xfId="29"/>
    <cellStyle name="20% - Accent2 16" xfId="30"/>
    <cellStyle name="20% - Accent2 2" xfId="31"/>
    <cellStyle name="20% - Accent2 2 2" xfId="32"/>
    <cellStyle name="20% - Accent2 3" xfId="33"/>
    <cellStyle name="20% - Accent2 4" xfId="34"/>
    <cellStyle name="20% - Accent2 5" xfId="35"/>
    <cellStyle name="20% - Accent2 6" xfId="36"/>
    <cellStyle name="20% - Accent2 7" xfId="37"/>
    <cellStyle name="20% - Accent2 8" xfId="38"/>
    <cellStyle name="20% - Accent2 9" xfId="39"/>
    <cellStyle name="20% - Accent3 10" xfId="40"/>
    <cellStyle name="20% - Accent3 11" xfId="41"/>
    <cellStyle name="20% - Accent3 12" xfId="42"/>
    <cellStyle name="20% - Accent3 13" xfId="43"/>
    <cellStyle name="20% - Accent3 14" xfId="44"/>
    <cellStyle name="20% - Accent3 15" xfId="45"/>
    <cellStyle name="20% - Accent3 16" xfId="46"/>
    <cellStyle name="20% - Accent3 2" xfId="47"/>
    <cellStyle name="20% - Accent3 2 2" xfId="48"/>
    <cellStyle name="20% - Accent3 3" xfId="49"/>
    <cellStyle name="20% - Accent3 4" xfId="50"/>
    <cellStyle name="20% - Accent3 5" xfId="51"/>
    <cellStyle name="20% - Accent3 6" xfId="52"/>
    <cellStyle name="20% - Accent3 7" xfId="53"/>
    <cellStyle name="20% - Accent3 8" xfId="54"/>
    <cellStyle name="20% - Accent3 9" xfId="55"/>
    <cellStyle name="20% - Accent4 10" xfId="56"/>
    <cellStyle name="20% - Accent4 11" xfId="57"/>
    <cellStyle name="20% - Accent4 12" xfId="58"/>
    <cellStyle name="20% - Accent4 13" xfId="59"/>
    <cellStyle name="20% - Accent4 14" xfId="60"/>
    <cellStyle name="20% - Accent4 15" xfId="61"/>
    <cellStyle name="20% - Accent4 16" xfId="62"/>
    <cellStyle name="20% - Accent4 2" xfId="63"/>
    <cellStyle name="20% - Accent4 2 2" xfId="64"/>
    <cellStyle name="20% - Accent4 3" xfId="65"/>
    <cellStyle name="20% - Accent4 4" xfId="66"/>
    <cellStyle name="20% - Accent4 5" xfId="67"/>
    <cellStyle name="20% - Accent4 6" xfId="68"/>
    <cellStyle name="20% - Accent4 7" xfId="69"/>
    <cellStyle name="20% - Accent4 8" xfId="70"/>
    <cellStyle name="20% - Accent4 9" xfId="71"/>
    <cellStyle name="20% - Accent5 10" xfId="72"/>
    <cellStyle name="20% - Accent5 11" xfId="73"/>
    <cellStyle name="20% - Accent5 12" xfId="74"/>
    <cellStyle name="20% - Accent5 13" xfId="75"/>
    <cellStyle name="20% - Accent5 14" xfId="76"/>
    <cellStyle name="20% - Accent5 15" xfId="77"/>
    <cellStyle name="20% - Accent5 16" xfId="78"/>
    <cellStyle name="20% - Accent5 2" xfId="79"/>
    <cellStyle name="20% - Accent5 2 2" xfId="80"/>
    <cellStyle name="20% - Accent5 3" xfId="81"/>
    <cellStyle name="20% - Accent5 4" xfId="82"/>
    <cellStyle name="20% - Accent5 5" xfId="83"/>
    <cellStyle name="20% - Accent5 6" xfId="84"/>
    <cellStyle name="20% - Accent5 7" xfId="85"/>
    <cellStyle name="20% - Accent5 8" xfId="86"/>
    <cellStyle name="20% - Accent5 9" xfId="87"/>
    <cellStyle name="20% - Accent6 10" xfId="88"/>
    <cellStyle name="20% - Accent6 11" xfId="89"/>
    <cellStyle name="20% - Accent6 12" xfId="90"/>
    <cellStyle name="20% - Accent6 13" xfId="91"/>
    <cellStyle name="20% - Accent6 14" xfId="92"/>
    <cellStyle name="20% - Accent6 15" xfId="93"/>
    <cellStyle name="20% - Accent6 16" xfId="94"/>
    <cellStyle name="20% - Accent6 2" xfId="95"/>
    <cellStyle name="20% - Accent6 2 2" xfId="96"/>
    <cellStyle name="20% - Accent6 3" xfId="97"/>
    <cellStyle name="20% - Accent6 4" xfId="98"/>
    <cellStyle name="20% - Accent6 5" xfId="99"/>
    <cellStyle name="20% - Accent6 6" xfId="100"/>
    <cellStyle name="20% - Accent6 7" xfId="101"/>
    <cellStyle name="20% - Accent6 8" xfId="102"/>
    <cellStyle name="20% - Accent6 9" xfId="103"/>
    <cellStyle name="40% - Accent1 10" xfId="104"/>
    <cellStyle name="40% - Accent1 11" xfId="105"/>
    <cellStyle name="40% - Accent1 12" xfId="106"/>
    <cellStyle name="40% - Accent1 13" xfId="107"/>
    <cellStyle name="40% - Accent1 14" xfId="108"/>
    <cellStyle name="40% - Accent1 15" xfId="109"/>
    <cellStyle name="40% - Accent1 16" xfId="110"/>
    <cellStyle name="40% - Accent1 2" xfId="111"/>
    <cellStyle name="40% - Accent1 2 2" xfId="112"/>
    <cellStyle name="40% - Accent1 3" xfId="113"/>
    <cellStyle name="40% - Accent1 4" xfId="114"/>
    <cellStyle name="40% - Accent1 5" xfId="115"/>
    <cellStyle name="40% - Accent1 6" xfId="116"/>
    <cellStyle name="40% - Accent1 7" xfId="117"/>
    <cellStyle name="40% - Accent1 8" xfId="118"/>
    <cellStyle name="40% - Accent1 9" xfId="119"/>
    <cellStyle name="40% - Accent2 10" xfId="120"/>
    <cellStyle name="40% - Accent2 11" xfId="121"/>
    <cellStyle name="40% - Accent2 12" xfId="122"/>
    <cellStyle name="40% - Accent2 13" xfId="123"/>
    <cellStyle name="40% - Accent2 14" xfId="124"/>
    <cellStyle name="40% - Accent2 15" xfId="125"/>
    <cellStyle name="40% - Accent2 16" xfId="126"/>
    <cellStyle name="40% - Accent2 2" xfId="127"/>
    <cellStyle name="40% - Accent2 2 2" xfId="128"/>
    <cellStyle name="40% - Accent2 3" xfId="129"/>
    <cellStyle name="40% - Accent2 4" xfId="130"/>
    <cellStyle name="40% - Accent2 5" xfId="131"/>
    <cellStyle name="40% - Accent2 6" xfId="132"/>
    <cellStyle name="40% - Accent2 7" xfId="133"/>
    <cellStyle name="40% - Accent2 8" xfId="134"/>
    <cellStyle name="40% - Accent2 9" xfId="135"/>
    <cellStyle name="40% - Accent3 10" xfId="136"/>
    <cellStyle name="40% - Accent3 11" xfId="137"/>
    <cellStyle name="40% - Accent3 12" xfId="138"/>
    <cellStyle name="40% - Accent3 13" xfId="139"/>
    <cellStyle name="40% - Accent3 14" xfId="140"/>
    <cellStyle name="40% - Accent3 15" xfId="141"/>
    <cellStyle name="40% - Accent3 16" xfId="142"/>
    <cellStyle name="40% - Accent3 2" xfId="143"/>
    <cellStyle name="40% - Accent3 2 2" xfId="144"/>
    <cellStyle name="40% - Accent3 3" xfId="145"/>
    <cellStyle name="40% - Accent3 4" xfId="146"/>
    <cellStyle name="40% - Accent3 5" xfId="147"/>
    <cellStyle name="40% - Accent3 6" xfId="148"/>
    <cellStyle name="40% - Accent3 7" xfId="149"/>
    <cellStyle name="40% - Accent3 8" xfId="150"/>
    <cellStyle name="40% - Accent3 9" xfId="151"/>
    <cellStyle name="40% - Accent4 10" xfId="152"/>
    <cellStyle name="40% - Accent4 11" xfId="153"/>
    <cellStyle name="40% - Accent4 12" xfId="154"/>
    <cellStyle name="40% - Accent4 13" xfId="155"/>
    <cellStyle name="40% - Accent4 14" xfId="156"/>
    <cellStyle name="40% - Accent4 15" xfId="157"/>
    <cellStyle name="40% - Accent4 16" xfId="158"/>
    <cellStyle name="40% - Accent4 2" xfId="159"/>
    <cellStyle name="40% - Accent4 2 2" xfId="160"/>
    <cellStyle name="40% - Accent4 3" xfId="161"/>
    <cellStyle name="40% - Accent4 4" xfId="162"/>
    <cellStyle name="40% - Accent4 5" xfId="163"/>
    <cellStyle name="40% - Accent4 6" xfId="164"/>
    <cellStyle name="40% - Accent4 7" xfId="165"/>
    <cellStyle name="40% - Accent4 8" xfId="166"/>
    <cellStyle name="40% - Accent4 9" xfId="167"/>
    <cellStyle name="40% - Accent5 10" xfId="168"/>
    <cellStyle name="40% - Accent5 11" xfId="169"/>
    <cellStyle name="40% - Accent5 12" xfId="170"/>
    <cellStyle name="40% - Accent5 13" xfId="171"/>
    <cellStyle name="40% - Accent5 14" xfId="172"/>
    <cellStyle name="40% - Accent5 15" xfId="173"/>
    <cellStyle name="40% - Accent5 16" xfId="174"/>
    <cellStyle name="40% - Accent5 2" xfId="175"/>
    <cellStyle name="40% - Accent5 2 2" xfId="176"/>
    <cellStyle name="40% - Accent5 3" xfId="177"/>
    <cellStyle name="40% - Accent5 4" xfId="178"/>
    <cellStyle name="40% - Accent5 5" xfId="179"/>
    <cellStyle name="40% - Accent5 6" xfId="180"/>
    <cellStyle name="40% - Accent5 7" xfId="181"/>
    <cellStyle name="40% - Accent5 8" xfId="182"/>
    <cellStyle name="40% - Accent5 9" xfId="183"/>
    <cellStyle name="40% - Accent6 10" xfId="184"/>
    <cellStyle name="40% - Accent6 11" xfId="185"/>
    <cellStyle name="40% - Accent6 12" xfId="186"/>
    <cellStyle name="40% - Accent6 13" xfId="187"/>
    <cellStyle name="40% - Accent6 14" xfId="188"/>
    <cellStyle name="40% - Accent6 15" xfId="189"/>
    <cellStyle name="40% - Accent6 16" xfId="190"/>
    <cellStyle name="40% - Accent6 2" xfId="191"/>
    <cellStyle name="40% - Accent6 2 2" xfId="192"/>
    <cellStyle name="40% - Accent6 3" xfId="193"/>
    <cellStyle name="40% - Accent6 4" xfId="194"/>
    <cellStyle name="40% - Accent6 5" xfId="195"/>
    <cellStyle name="40% - Accent6 6" xfId="196"/>
    <cellStyle name="40% - Accent6 7" xfId="197"/>
    <cellStyle name="40% - Accent6 8" xfId="198"/>
    <cellStyle name="40% - Accent6 9" xfId="199"/>
    <cellStyle name="60% - Accent1 10" xfId="200"/>
    <cellStyle name="60% - Accent1 11" xfId="201"/>
    <cellStyle name="60% - Accent1 12" xfId="202"/>
    <cellStyle name="60% - Accent1 13" xfId="203"/>
    <cellStyle name="60% - Accent1 14" xfId="204"/>
    <cellStyle name="60% - Accent1 15" xfId="205"/>
    <cellStyle name="60% - Accent1 16" xfId="206"/>
    <cellStyle name="60% - Accent1 2" xfId="207"/>
    <cellStyle name="60% - Accent1 3" xfId="208"/>
    <cellStyle name="60% - Accent1 4" xfId="209"/>
    <cellStyle name="60% - Accent1 5" xfId="210"/>
    <cellStyle name="60% - Accent1 6" xfId="211"/>
    <cellStyle name="60% - Accent1 7" xfId="212"/>
    <cellStyle name="60% - Accent1 8" xfId="213"/>
    <cellStyle name="60% - Accent1 9" xfId="214"/>
    <cellStyle name="60% - Accent2 10" xfId="215"/>
    <cellStyle name="60% - Accent2 11" xfId="216"/>
    <cellStyle name="60% - Accent2 12" xfId="217"/>
    <cellStyle name="60% - Accent2 13" xfId="218"/>
    <cellStyle name="60% - Accent2 14" xfId="219"/>
    <cellStyle name="60% - Accent2 15" xfId="220"/>
    <cellStyle name="60% - Accent2 16" xfId="221"/>
    <cellStyle name="60% - Accent2 2" xfId="222"/>
    <cellStyle name="60% - Accent2 3" xfId="223"/>
    <cellStyle name="60% - Accent2 4" xfId="224"/>
    <cellStyle name="60% - Accent2 5" xfId="225"/>
    <cellStyle name="60% - Accent2 6" xfId="226"/>
    <cellStyle name="60% - Accent2 7" xfId="227"/>
    <cellStyle name="60% - Accent2 8" xfId="228"/>
    <cellStyle name="60% - Accent2 9" xfId="229"/>
    <cellStyle name="60% - Accent3 10" xfId="230"/>
    <cellStyle name="60% - Accent3 11" xfId="231"/>
    <cellStyle name="60% - Accent3 12" xfId="232"/>
    <cellStyle name="60% - Accent3 13" xfId="233"/>
    <cellStyle name="60% - Accent3 14" xfId="234"/>
    <cellStyle name="60% - Accent3 15" xfId="235"/>
    <cellStyle name="60% - Accent3 16" xfId="236"/>
    <cellStyle name="60% - Accent3 2" xfId="237"/>
    <cellStyle name="60% - Accent3 3" xfId="238"/>
    <cellStyle name="60% - Accent3 4" xfId="239"/>
    <cellStyle name="60% - Accent3 5" xfId="240"/>
    <cellStyle name="60% - Accent3 6" xfId="241"/>
    <cellStyle name="60% - Accent3 7" xfId="242"/>
    <cellStyle name="60% - Accent3 8" xfId="243"/>
    <cellStyle name="60% - Accent3 9" xfId="244"/>
    <cellStyle name="60% - Accent4 10" xfId="245"/>
    <cellStyle name="60% - Accent4 11" xfId="246"/>
    <cellStyle name="60% - Accent4 12" xfId="247"/>
    <cellStyle name="60% - Accent4 13" xfId="248"/>
    <cellStyle name="60% - Accent4 14" xfId="249"/>
    <cellStyle name="60% - Accent4 15" xfId="250"/>
    <cellStyle name="60% - Accent4 16" xfId="251"/>
    <cellStyle name="60% - Accent4 2" xfId="252"/>
    <cellStyle name="60% - Accent4 3" xfId="253"/>
    <cellStyle name="60% - Accent4 4" xfId="254"/>
    <cellStyle name="60% - Accent4 5" xfId="255"/>
    <cellStyle name="60% - Accent4 6" xfId="256"/>
    <cellStyle name="60% - Accent4 7" xfId="257"/>
    <cellStyle name="60% - Accent4 8" xfId="258"/>
    <cellStyle name="60% - Accent4 9" xfId="259"/>
    <cellStyle name="60% - Accent5 10" xfId="260"/>
    <cellStyle name="60% - Accent5 11" xfId="261"/>
    <cellStyle name="60% - Accent5 12" xfId="262"/>
    <cellStyle name="60% - Accent5 13" xfId="263"/>
    <cellStyle name="60% - Accent5 14" xfId="264"/>
    <cellStyle name="60% - Accent5 15" xfId="265"/>
    <cellStyle name="60% - Accent5 16" xfId="266"/>
    <cellStyle name="60% - Accent5 2" xfId="267"/>
    <cellStyle name="60% - Accent5 3" xfId="268"/>
    <cellStyle name="60% - Accent5 4" xfId="269"/>
    <cellStyle name="60% - Accent5 5" xfId="270"/>
    <cellStyle name="60% - Accent5 6" xfId="271"/>
    <cellStyle name="60% - Accent5 7" xfId="272"/>
    <cellStyle name="60% - Accent5 8" xfId="273"/>
    <cellStyle name="60% - Accent5 9" xfId="274"/>
    <cellStyle name="60% - Accent6 10" xfId="275"/>
    <cellStyle name="60% - Accent6 11" xfId="276"/>
    <cellStyle name="60% - Accent6 12" xfId="277"/>
    <cellStyle name="60% - Accent6 13" xfId="278"/>
    <cellStyle name="60% - Accent6 14" xfId="279"/>
    <cellStyle name="60% - Accent6 15" xfId="280"/>
    <cellStyle name="60% - Accent6 16" xfId="281"/>
    <cellStyle name="60% - Accent6 2" xfId="282"/>
    <cellStyle name="60% - Accent6 3" xfId="283"/>
    <cellStyle name="60% - Accent6 4" xfId="284"/>
    <cellStyle name="60% - Accent6 5" xfId="285"/>
    <cellStyle name="60% - Accent6 6" xfId="286"/>
    <cellStyle name="60% - Accent6 7" xfId="287"/>
    <cellStyle name="60% - Accent6 8" xfId="288"/>
    <cellStyle name="60% - Accent6 9" xfId="289"/>
    <cellStyle name="Accent1 10" xfId="290"/>
    <cellStyle name="Accent1 11" xfId="291"/>
    <cellStyle name="Accent1 12" xfId="292"/>
    <cellStyle name="Accent1 13" xfId="293"/>
    <cellStyle name="Accent1 14" xfId="294"/>
    <cellStyle name="Accent1 15" xfId="295"/>
    <cellStyle name="Accent1 16" xfId="296"/>
    <cellStyle name="Accent1 2" xfId="297"/>
    <cellStyle name="Accent1 3" xfId="298"/>
    <cellStyle name="Accent1 4" xfId="299"/>
    <cellStyle name="Accent1 5" xfId="300"/>
    <cellStyle name="Accent1 6" xfId="301"/>
    <cellStyle name="Accent1 7" xfId="302"/>
    <cellStyle name="Accent1 8" xfId="303"/>
    <cellStyle name="Accent1 9" xfId="304"/>
    <cellStyle name="Accent2 10" xfId="305"/>
    <cellStyle name="Accent2 11" xfId="306"/>
    <cellStyle name="Accent2 12" xfId="307"/>
    <cellStyle name="Accent2 13" xfId="308"/>
    <cellStyle name="Accent2 14" xfId="309"/>
    <cellStyle name="Accent2 15" xfId="310"/>
    <cellStyle name="Accent2 16" xfId="311"/>
    <cellStyle name="Accent2 2" xfId="312"/>
    <cellStyle name="Accent2 3" xfId="313"/>
    <cellStyle name="Accent2 4" xfId="314"/>
    <cellStyle name="Accent2 5" xfId="315"/>
    <cellStyle name="Accent2 6" xfId="316"/>
    <cellStyle name="Accent2 7" xfId="317"/>
    <cellStyle name="Accent2 8" xfId="318"/>
    <cellStyle name="Accent2 9" xfId="319"/>
    <cellStyle name="Accent3 10" xfId="320"/>
    <cellStyle name="Accent3 11" xfId="321"/>
    <cellStyle name="Accent3 12" xfId="322"/>
    <cellStyle name="Accent3 13" xfId="323"/>
    <cellStyle name="Accent3 14" xfId="324"/>
    <cellStyle name="Accent3 15" xfId="325"/>
    <cellStyle name="Accent3 16" xfId="326"/>
    <cellStyle name="Accent3 2" xfId="327"/>
    <cellStyle name="Accent3 3" xfId="328"/>
    <cellStyle name="Accent3 4" xfId="329"/>
    <cellStyle name="Accent3 5" xfId="330"/>
    <cellStyle name="Accent3 6" xfId="331"/>
    <cellStyle name="Accent3 7" xfId="332"/>
    <cellStyle name="Accent3 8" xfId="333"/>
    <cellStyle name="Accent3 9" xfId="334"/>
    <cellStyle name="Accent4 10" xfId="335"/>
    <cellStyle name="Accent4 11" xfId="336"/>
    <cellStyle name="Accent4 12" xfId="337"/>
    <cellStyle name="Accent4 13" xfId="338"/>
    <cellStyle name="Accent4 14" xfId="339"/>
    <cellStyle name="Accent4 15" xfId="340"/>
    <cellStyle name="Accent4 16" xfId="341"/>
    <cellStyle name="Accent4 2" xfId="342"/>
    <cellStyle name="Accent4 3" xfId="343"/>
    <cellStyle name="Accent4 4" xfId="344"/>
    <cellStyle name="Accent4 5" xfId="345"/>
    <cellStyle name="Accent4 6" xfId="346"/>
    <cellStyle name="Accent4 7" xfId="347"/>
    <cellStyle name="Accent4 8" xfId="348"/>
    <cellStyle name="Accent4 9" xfId="349"/>
    <cellStyle name="Accent5 10" xfId="350"/>
    <cellStyle name="Accent5 11" xfId="351"/>
    <cellStyle name="Accent5 12" xfId="352"/>
    <cellStyle name="Accent5 13" xfId="353"/>
    <cellStyle name="Accent5 14" xfId="354"/>
    <cellStyle name="Accent5 15" xfId="355"/>
    <cellStyle name="Accent5 16" xfId="356"/>
    <cellStyle name="Accent5 2" xfId="357"/>
    <cellStyle name="Accent5 3" xfId="358"/>
    <cellStyle name="Accent5 4" xfId="359"/>
    <cellStyle name="Accent5 5" xfId="360"/>
    <cellStyle name="Accent5 6" xfId="361"/>
    <cellStyle name="Accent5 7" xfId="362"/>
    <cellStyle name="Accent5 8" xfId="363"/>
    <cellStyle name="Accent5 9" xfId="364"/>
    <cellStyle name="Accent6 10" xfId="365"/>
    <cellStyle name="Accent6 11" xfId="366"/>
    <cellStyle name="Accent6 12" xfId="367"/>
    <cellStyle name="Accent6 13" xfId="368"/>
    <cellStyle name="Accent6 14" xfId="369"/>
    <cellStyle name="Accent6 15" xfId="370"/>
    <cellStyle name="Accent6 16" xfId="371"/>
    <cellStyle name="Accent6 2" xfId="372"/>
    <cellStyle name="Accent6 3" xfId="373"/>
    <cellStyle name="Accent6 4" xfId="374"/>
    <cellStyle name="Accent6 5" xfId="375"/>
    <cellStyle name="Accent6 6" xfId="376"/>
    <cellStyle name="Accent6 7" xfId="377"/>
    <cellStyle name="Accent6 8" xfId="378"/>
    <cellStyle name="Accent6 9" xfId="379"/>
    <cellStyle name="Bad 10" xfId="380"/>
    <cellStyle name="Bad 11" xfId="381"/>
    <cellStyle name="Bad 12" xfId="382"/>
    <cellStyle name="Bad 13" xfId="383"/>
    <cellStyle name="Bad 14" xfId="384"/>
    <cellStyle name="Bad 15" xfId="385"/>
    <cellStyle name="Bad 16" xfId="386"/>
    <cellStyle name="Bad 2" xfId="387"/>
    <cellStyle name="Bad 3" xfId="388"/>
    <cellStyle name="Bad 4" xfId="389"/>
    <cellStyle name="Bad 5" xfId="390"/>
    <cellStyle name="Bad 6" xfId="391"/>
    <cellStyle name="Bad 7" xfId="392"/>
    <cellStyle name="Bad 8" xfId="393"/>
    <cellStyle name="Bad 9" xfId="394"/>
    <cellStyle name="c" xfId="395"/>
    <cellStyle name="Calculation 10" xfId="396"/>
    <cellStyle name="Calculation 11" xfId="397"/>
    <cellStyle name="Calculation 12" xfId="398"/>
    <cellStyle name="Calculation 13" xfId="399"/>
    <cellStyle name="Calculation 14" xfId="400"/>
    <cellStyle name="Calculation 15" xfId="401"/>
    <cellStyle name="Calculation 16" xfId="402"/>
    <cellStyle name="Calculation 2" xfId="403"/>
    <cellStyle name="Calculation 3" xfId="404"/>
    <cellStyle name="Calculation 4" xfId="405"/>
    <cellStyle name="Calculation 5" xfId="406"/>
    <cellStyle name="Calculation 6" xfId="407"/>
    <cellStyle name="Calculation 7" xfId="408"/>
    <cellStyle name="Calculation 8" xfId="409"/>
    <cellStyle name="Calculation 9" xfId="410"/>
    <cellStyle name="Check Cell 10" xfId="411"/>
    <cellStyle name="Check Cell 11" xfId="412"/>
    <cellStyle name="Check Cell 12" xfId="413"/>
    <cellStyle name="Check Cell 13" xfId="414"/>
    <cellStyle name="Check Cell 14" xfId="415"/>
    <cellStyle name="Check Cell 15" xfId="416"/>
    <cellStyle name="Check Cell 16" xfId="417"/>
    <cellStyle name="Check Cell 2" xfId="418"/>
    <cellStyle name="Check Cell 3" xfId="419"/>
    <cellStyle name="Check Cell 4" xfId="420"/>
    <cellStyle name="Check Cell 5" xfId="421"/>
    <cellStyle name="Check Cell 6" xfId="422"/>
    <cellStyle name="Check Cell 7" xfId="423"/>
    <cellStyle name="Check Cell 8" xfId="424"/>
    <cellStyle name="Check Cell 9" xfId="425"/>
    <cellStyle name="CodeEingabe" xfId="426"/>
    <cellStyle name="ColumnAttributeAbovePrompt" xfId="427"/>
    <cellStyle name="ColumnAttributePrompt" xfId="428"/>
    <cellStyle name="ColumnAttributeValue" xfId="429"/>
    <cellStyle name="ColumnHeadingPrompt" xfId="430"/>
    <cellStyle name="ColumnHeadingValue" xfId="431"/>
    <cellStyle name="Comma" xfId="1" builtinId="3"/>
    <cellStyle name="Comma [0] 2" xfId="432"/>
    <cellStyle name="Comma [0] 2 2" xfId="433"/>
    <cellStyle name="Comma [0] 3" xfId="434"/>
    <cellStyle name="Comma [0] 4" xfId="435"/>
    <cellStyle name="Comma 10" xfId="436"/>
    <cellStyle name="Comma 10 2" xfId="437"/>
    <cellStyle name="Comma 11" xfId="438"/>
    <cellStyle name="Comma 11 2" xfId="439"/>
    <cellStyle name="Comma 2" xfId="440"/>
    <cellStyle name="Comma 2 10" xfId="441"/>
    <cellStyle name="Comma 2 11" xfId="442"/>
    <cellStyle name="Comma 2 12" xfId="443"/>
    <cellStyle name="Comma 2 13" xfId="444"/>
    <cellStyle name="Comma 2 14" xfId="445"/>
    <cellStyle name="Comma 2 15" xfId="446"/>
    <cellStyle name="Comma 2 2" xfId="447"/>
    <cellStyle name="Comma 2 3" xfId="448"/>
    <cellStyle name="Comma 2 4" xfId="449"/>
    <cellStyle name="Comma 2 5" xfId="450"/>
    <cellStyle name="Comma 2 6" xfId="451"/>
    <cellStyle name="Comma 2 7" xfId="452"/>
    <cellStyle name="Comma 2 8" xfId="453"/>
    <cellStyle name="Comma 2 9" xfId="454"/>
    <cellStyle name="Comma 3" xfId="455"/>
    <cellStyle name="Comma 3 2" xfId="456"/>
    <cellStyle name="Comma 31" xfId="457"/>
    <cellStyle name="Comma 31 2" xfId="458"/>
    <cellStyle name="Comma 4" xfId="459"/>
    <cellStyle name="Comma 5" xfId="460"/>
    <cellStyle name="Comma 5 2" xfId="461"/>
    <cellStyle name="Comma 6" xfId="462"/>
    <cellStyle name="Comma 6 2" xfId="463"/>
    <cellStyle name="Comma 7" xfId="464"/>
    <cellStyle name="Comma 8" xfId="465"/>
    <cellStyle name="Comma 8 2" xfId="466"/>
    <cellStyle name="Comma 9" xfId="467"/>
    <cellStyle name="Comma0" xfId="468"/>
    <cellStyle name="Comma0 2" xfId="469"/>
    <cellStyle name="Comma0 2 2" xfId="470"/>
    <cellStyle name="Comma0 3" xfId="471"/>
    <cellStyle name="Comma0 3 2" xfId="472"/>
    <cellStyle name="Comma0_SCH11 Not Done" xfId="473"/>
    <cellStyle name="Currency" xfId="2" builtinId="4"/>
    <cellStyle name="Currency 10" xfId="474"/>
    <cellStyle name="Currency 10 2" xfId="475"/>
    <cellStyle name="Currency 2" xfId="476"/>
    <cellStyle name="Currency 2 2" xfId="477"/>
    <cellStyle name="Currency 2 3" xfId="478"/>
    <cellStyle name="Currency 3" xfId="479"/>
    <cellStyle name="Currency 3 2" xfId="480"/>
    <cellStyle name="Currency 4" xfId="481"/>
    <cellStyle name="Currency 4 2" xfId="482"/>
    <cellStyle name="Currency 5" xfId="483"/>
    <cellStyle name="Currency 5 2" xfId="484"/>
    <cellStyle name="Currency 6" xfId="485"/>
    <cellStyle name="Currency 7" xfId="486"/>
    <cellStyle name="Currency 7 2" xfId="487"/>
    <cellStyle name="Currency0" xfId="488"/>
    <cellStyle name="Currency0 2" xfId="489"/>
    <cellStyle name="Currency0 2 2" xfId="490"/>
    <cellStyle name="Currency0 3" xfId="491"/>
    <cellStyle name="Currency0 3 2" xfId="492"/>
    <cellStyle name="Date" xfId="493"/>
    <cellStyle name="Date 2" xfId="494"/>
    <cellStyle name="Date 2 2" xfId="495"/>
    <cellStyle name="Date 3" xfId="496"/>
    <cellStyle name="Date 3 2" xfId="497"/>
    <cellStyle name="Eingabe" xfId="498"/>
    <cellStyle name="Eingabe 2" xfId="499"/>
    <cellStyle name="Euro" xfId="500"/>
    <cellStyle name="Euro 2" xfId="501"/>
    <cellStyle name="Euro 2 2" xfId="502"/>
    <cellStyle name="Euro 3" xfId="503"/>
    <cellStyle name="Euro 3 2" xfId="504"/>
    <cellStyle name="Explanatory Text 10" xfId="505"/>
    <cellStyle name="Explanatory Text 11" xfId="506"/>
    <cellStyle name="Explanatory Text 12" xfId="507"/>
    <cellStyle name="Explanatory Text 13" xfId="508"/>
    <cellStyle name="Explanatory Text 14" xfId="509"/>
    <cellStyle name="Explanatory Text 15" xfId="510"/>
    <cellStyle name="Explanatory Text 16" xfId="511"/>
    <cellStyle name="Explanatory Text 2" xfId="512"/>
    <cellStyle name="Explanatory Text 3" xfId="513"/>
    <cellStyle name="Explanatory Text 4" xfId="514"/>
    <cellStyle name="Explanatory Text 5" xfId="515"/>
    <cellStyle name="Explanatory Text 6" xfId="516"/>
    <cellStyle name="Explanatory Text 7" xfId="517"/>
    <cellStyle name="Explanatory Text 8" xfId="518"/>
    <cellStyle name="Explanatory Text 9" xfId="519"/>
    <cellStyle name="F2" xfId="520"/>
    <cellStyle name="F2 2" xfId="521"/>
    <cellStyle name="F2 2 2" xfId="522"/>
    <cellStyle name="F2 3" xfId="523"/>
    <cellStyle name="F2 3 2" xfId="524"/>
    <cellStyle name="F2 4" xfId="525"/>
    <cellStyle name="F2 5" xfId="526"/>
    <cellStyle name="F2 6" xfId="527"/>
    <cellStyle name="F2 7" xfId="528"/>
    <cellStyle name="F2 8" xfId="529"/>
    <cellStyle name="F2 9" xfId="530"/>
    <cellStyle name="F2_Regenerated Revenues LGE Gas 2008-04 with Elec Gen-Seelye final version " xfId="531"/>
    <cellStyle name="F3" xfId="532"/>
    <cellStyle name="F3 2" xfId="533"/>
    <cellStyle name="F3 2 2" xfId="534"/>
    <cellStyle name="F3 3" xfId="535"/>
    <cellStyle name="F3 3 2" xfId="536"/>
    <cellStyle name="F3 4" xfId="537"/>
    <cellStyle name="F3 5" xfId="538"/>
    <cellStyle name="F3 6" xfId="539"/>
    <cellStyle name="F3 7" xfId="540"/>
    <cellStyle name="F3 8" xfId="541"/>
    <cellStyle name="F3 9" xfId="542"/>
    <cellStyle name="F3_Regenerated Revenues LGE Gas 2008-04 with Elec Gen-Seelye final version " xfId="543"/>
    <cellStyle name="F4" xfId="544"/>
    <cellStyle name="F4 2" xfId="545"/>
    <cellStyle name="F4 2 2" xfId="546"/>
    <cellStyle name="F4 3" xfId="547"/>
    <cellStyle name="F4 3 2" xfId="548"/>
    <cellStyle name="F4 4" xfId="549"/>
    <cellStyle name="F4 5" xfId="550"/>
    <cellStyle name="F4 6" xfId="551"/>
    <cellStyle name="F4 7" xfId="552"/>
    <cellStyle name="F4 8" xfId="553"/>
    <cellStyle name="F4 9" xfId="554"/>
    <cellStyle name="F4_Regenerated Revenues LGE Gas 2008-04 with Elec Gen-Seelye final version " xfId="555"/>
    <cellStyle name="F5" xfId="556"/>
    <cellStyle name="F5 2" xfId="557"/>
    <cellStyle name="F5 2 2" xfId="558"/>
    <cellStyle name="F5 3" xfId="559"/>
    <cellStyle name="F5 3 2" xfId="560"/>
    <cellStyle name="F5 4" xfId="561"/>
    <cellStyle name="F5 5" xfId="562"/>
    <cellStyle name="F5 6" xfId="563"/>
    <cellStyle name="F5 7" xfId="564"/>
    <cellStyle name="F5 8" xfId="565"/>
    <cellStyle name="F5 9" xfId="566"/>
    <cellStyle name="F5_Regenerated Revenues LGE Gas 2008-04 with Elec Gen-Seelye final version " xfId="567"/>
    <cellStyle name="F6" xfId="568"/>
    <cellStyle name="F6 2" xfId="569"/>
    <cellStyle name="F6 2 2" xfId="570"/>
    <cellStyle name="F6 3" xfId="571"/>
    <cellStyle name="F6 3 2" xfId="572"/>
    <cellStyle name="F6 4" xfId="573"/>
    <cellStyle name="F6 5" xfId="574"/>
    <cellStyle name="F6 6" xfId="575"/>
    <cellStyle name="F6 7" xfId="576"/>
    <cellStyle name="F6 8" xfId="577"/>
    <cellStyle name="F6 9" xfId="578"/>
    <cellStyle name="F6_Regenerated Revenues LGE Gas 2008-04 with Elec Gen-Seelye final version " xfId="579"/>
    <cellStyle name="F7" xfId="580"/>
    <cellStyle name="F7 2" xfId="581"/>
    <cellStyle name="F7 2 2" xfId="582"/>
    <cellStyle name="F7 3" xfId="583"/>
    <cellStyle name="F7 3 2" xfId="584"/>
    <cellStyle name="F7 4" xfId="585"/>
    <cellStyle name="F7 5" xfId="586"/>
    <cellStyle name="F7 6" xfId="587"/>
    <cellStyle name="F7 7" xfId="588"/>
    <cellStyle name="F7 8" xfId="589"/>
    <cellStyle name="F7 9" xfId="590"/>
    <cellStyle name="F7_Regenerated Revenues LGE Gas 2008-04 with Elec Gen-Seelye final version " xfId="591"/>
    <cellStyle name="F8" xfId="592"/>
    <cellStyle name="F8 2" xfId="593"/>
    <cellStyle name="F8 2 2" xfId="594"/>
    <cellStyle name="F8 3" xfId="595"/>
    <cellStyle name="F8 3 2" xfId="596"/>
    <cellStyle name="F8 4" xfId="597"/>
    <cellStyle name="F8 5" xfId="598"/>
    <cellStyle name="F8 6" xfId="599"/>
    <cellStyle name="F8 7" xfId="600"/>
    <cellStyle name="F8 8" xfId="601"/>
    <cellStyle name="F8 9" xfId="602"/>
    <cellStyle name="F8_Regenerated Revenues LGE Gas 2008-04 with Elec Gen-Seelye final version " xfId="603"/>
    <cellStyle name="Fixed" xfId="604"/>
    <cellStyle name="Fixed 2" xfId="605"/>
    <cellStyle name="Fixed 2 2" xfId="606"/>
    <cellStyle name="Fixed 3" xfId="607"/>
    <cellStyle name="Fixed 3 2" xfId="608"/>
    <cellStyle name="Good 10" xfId="609"/>
    <cellStyle name="Good 11" xfId="610"/>
    <cellStyle name="Good 12" xfId="611"/>
    <cellStyle name="Good 13" xfId="612"/>
    <cellStyle name="Good 14" xfId="613"/>
    <cellStyle name="Good 15" xfId="614"/>
    <cellStyle name="Good 16" xfId="615"/>
    <cellStyle name="Good 2" xfId="616"/>
    <cellStyle name="Good 3" xfId="617"/>
    <cellStyle name="Good 4" xfId="618"/>
    <cellStyle name="Good 5" xfId="619"/>
    <cellStyle name="Good 6" xfId="620"/>
    <cellStyle name="Good 7" xfId="621"/>
    <cellStyle name="Good 8" xfId="622"/>
    <cellStyle name="Good 9" xfId="623"/>
    <cellStyle name="Heading 1 10" xfId="624"/>
    <cellStyle name="Heading 1 11" xfId="625"/>
    <cellStyle name="Heading 1 12" xfId="626"/>
    <cellStyle name="Heading 1 13" xfId="627"/>
    <cellStyle name="Heading 1 14" xfId="628"/>
    <cellStyle name="Heading 1 15" xfId="629"/>
    <cellStyle name="Heading 1 16" xfId="630"/>
    <cellStyle name="Heading 1 2" xfId="631"/>
    <cellStyle name="Heading 1 2 2" xfId="632"/>
    <cellStyle name="Heading 1 3" xfId="633"/>
    <cellStyle name="Heading 1 3 2" xfId="634"/>
    <cellStyle name="Heading 1 4" xfId="635"/>
    <cellStyle name="Heading 1 5" xfId="636"/>
    <cellStyle name="Heading 1 6" xfId="637"/>
    <cellStyle name="Heading 1 7" xfId="638"/>
    <cellStyle name="Heading 1 8" xfId="639"/>
    <cellStyle name="Heading 1 9" xfId="640"/>
    <cellStyle name="Heading 2 10" xfId="641"/>
    <cellStyle name="Heading 2 11" xfId="642"/>
    <cellStyle name="Heading 2 12" xfId="643"/>
    <cellStyle name="Heading 2 13" xfId="644"/>
    <cellStyle name="Heading 2 14" xfId="645"/>
    <cellStyle name="Heading 2 15" xfId="646"/>
    <cellStyle name="Heading 2 16" xfId="647"/>
    <cellStyle name="Heading 2 2" xfId="648"/>
    <cellStyle name="Heading 2 2 2" xfId="649"/>
    <cellStyle name="Heading 2 3" xfId="650"/>
    <cellStyle name="Heading 2 3 2" xfId="651"/>
    <cellStyle name="Heading 2 4" xfId="652"/>
    <cellStyle name="Heading 2 5" xfId="653"/>
    <cellStyle name="Heading 2 6" xfId="654"/>
    <cellStyle name="Heading 2 7" xfId="655"/>
    <cellStyle name="Heading 2 8" xfId="656"/>
    <cellStyle name="Heading 2 9" xfId="657"/>
    <cellStyle name="Heading 3 10" xfId="658"/>
    <cellStyle name="Heading 3 11" xfId="659"/>
    <cellStyle name="Heading 3 12" xfId="660"/>
    <cellStyle name="Heading 3 13" xfId="661"/>
    <cellStyle name="Heading 3 14" xfId="662"/>
    <cellStyle name="Heading 3 15" xfId="663"/>
    <cellStyle name="Heading 3 16" xfId="664"/>
    <cellStyle name="Heading 3 2" xfId="665"/>
    <cellStyle name="Heading 3 3" xfId="666"/>
    <cellStyle name="Heading 3 4" xfId="667"/>
    <cellStyle name="Heading 3 5" xfId="668"/>
    <cellStyle name="Heading 3 6" xfId="669"/>
    <cellStyle name="Heading 3 7" xfId="670"/>
    <cellStyle name="Heading 3 8" xfId="671"/>
    <cellStyle name="Heading 3 9" xfId="672"/>
    <cellStyle name="Heading 4 10" xfId="673"/>
    <cellStyle name="Heading 4 11" xfId="674"/>
    <cellStyle name="Heading 4 12" xfId="675"/>
    <cellStyle name="Heading 4 13" xfId="676"/>
    <cellStyle name="Heading 4 14" xfId="677"/>
    <cellStyle name="Heading 4 15" xfId="678"/>
    <cellStyle name="Heading 4 16" xfId="679"/>
    <cellStyle name="Heading 4 2" xfId="680"/>
    <cellStyle name="Heading 4 3" xfId="681"/>
    <cellStyle name="Heading 4 4" xfId="682"/>
    <cellStyle name="Heading 4 5" xfId="683"/>
    <cellStyle name="Heading 4 6" xfId="684"/>
    <cellStyle name="Heading 4 7" xfId="685"/>
    <cellStyle name="Heading 4 8" xfId="686"/>
    <cellStyle name="Heading 4 9" xfId="687"/>
    <cellStyle name="Input 10" xfId="688"/>
    <cellStyle name="Input 11" xfId="689"/>
    <cellStyle name="Input 12" xfId="690"/>
    <cellStyle name="Input 13" xfId="691"/>
    <cellStyle name="Input 14" xfId="692"/>
    <cellStyle name="Input 15" xfId="693"/>
    <cellStyle name="Input 16" xfId="694"/>
    <cellStyle name="Input 2" xfId="695"/>
    <cellStyle name="Input 3" xfId="696"/>
    <cellStyle name="Input 4" xfId="697"/>
    <cellStyle name="Input 5" xfId="698"/>
    <cellStyle name="Input 6" xfId="699"/>
    <cellStyle name="Input 7" xfId="700"/>
    <cellStyle name="Input 8" xfId="701"/>
    <cellStyle name="Input 9" xfId="702"/>
    <cellStyle name="LineItemPrompt" xfId="703"/>
    <cellStyle name="LineItemValue" xfId="704"/>
    <cellStyle name="Linked Cell 10" xfId="705"/>
    <cellStyle name="Linked Cell 11" xfId="706"/>
    <cellStyle name="Linked Cell 12" xfId="707"/>
    <cellStyle name="Linked Cell 13" xfId="708"/>
    <cellStyle name="Linked Cell 14" xfId="709"/>
    <cellStyle name="Linked Cell 15" xfId="710"/>
    <cellStyle name="Linked Cell 16" xfId="711"/>
    <cellStyle name="Linked Cell 2" xfId="712"/>
    <cellStyle name="Linked Cell 3" xfId="713"/>
    <cellStyle name="Linked Cell 4" xfId="714"/>
    <cellStyle name="Linked Cell 5" xfId="715"/>
    <cellStyle name="Linked Cell 6" xfId="716"/>
    <cellStyle name="Linked Cell 7" xfId="717"/>
    <cellStyle name="Linked Cell 8" xfId="718"/>
    <cellStyle name="Linked Cell 9" xfId="719"/>
    <cellStyle name="Neutral 10" xfId="720"/>
    <cellStyle name="Neutral 11" xfId="721"/>
    <cellStyle name="Neutral 12" xfId="722"/>
    <cellStyle name="Neutral 13" xfId="723"/>
    <cellStyle name="Neutral 14" xfId="724"/>
    <cellStyle name="Neutral 15" xfId="725"/>
    <cellStyle name="Neutral 16" xfId="726"/>
    <cellStyle name="Neutral 2" xfId="727"/>
    <cellStyle name="Neutral 3" xfId="728"/>
    <cellStyle name="Neutral 4" xfId="729"/>
    <cellStyle name="Neutral 5" xfId="730"/>
    <cellStyle name="Neutral 6" xfId="731"/>
    <cellStyle name="Neutral 7" xfId="732"/>
    <cellStyle name="Neutral 8" xfId="733"/>
    <cellStyle name="Neutral 9" xfId="734"/>
    <cellStyle name="Normal" xfId="0" builtinId="0"/>
    <cellStyle name="Normal 10" xfId="735"/>
    <cellStyle name="Normal 10 2" xfId="736"/>
    <cellStyle name="Normal 11" xfId="737"/>
    <cellStyle name="Normal 11 2" xfId="738"/>
    <cellStyle name="Normal 12" xfId="739"/>
    <cellStyle name="Normal 12 2" xfId="740"/>
    <cellStyle name="Normal 13" xfId="741"/>
    <cellStyle name="Normal 14" xfId="742"/>
    <cellStyle name="Normal 15" xfId="743"/>
    <cellStyle name="Normal 15 2" xfId="744"/>
    <cellStyle name="Normal 16" xfId="745"/>
    <cellStyle name="Normal 16 2" xfId="746"/>
    <cellStyle name="Normal 17" xfId="747"/>
    <cellStyle name="Normal 17 2" xfId="748"/>
    <cellStyle name="Normal 18" xfId="749"/>
    <cellStyle name="Normal 18 2" xfId="750"/>
    <cellStyle name="Normal 19" xfId="751"/>
    <cellStyle name="Normal 19 2" xfId="752"/>
    <cellStyle name="Normal 2" xfId="4"/>
    <cellStyle name="Normal 2 10" xfId="753"/>
    <cellStyle name="Normal 2 11" xfId="754"/>
    <cellStyle name="Normal 2 12" xfId="755"/>
    <cellStyle name="Normal 2 13" xfId="756"/>
    <cellStyle name="Normal 2 14" xfId="757"/>
    <cellStyle name="Normal 2 15" xfId="758"/>
    <cellStyle name="Normal 2 16" xfId="759"/>
    <cellStyle name="Normal 2 17" xfId="760"/>
    <cellStyle name="Normal 2 2" xfId="761"/>
    <cellStyle name="Normal 2 2 2" xfId="762"/>
    <cellStyle name="Normal 2 3" xfId="763"/>
    <cellStyle name="Normal 2 3 2" xfId="764"/>
    <cellStyle name="Normal 2 4" xfId="765"/>
    <cellStyle name="Normal 2 4 2" xfId="766"/>
    <cellStyle name="Normal 2 5" xfId="767"/>
    <cellStyle name="Normal 2 6" xfId="768"/>
    <cellStyle name="Normal 2 7" xfId="769"/>
    <cellStyle name="Normal 2 8" xfId="770"/>
    <cellStyle name="Normal 2 9" xfId="771"/>
    <cellStyle name="Normal 2_LGEElecBillingDeterminants2009-10" xfId="772"/>
    <cellStyle name="Normal 20" xfId="773"/>
    <cellStyle name="Normal 20 2" xfId="774"/>
    <cellStyle name="Normal 21" xfId="775"/>
    <cellStyle name="Normal 21 2" xfId="776"/>
    <cellStyle name="Normal 22" xfId="777"/>
    <cellStyle name="Normal 22 2" xfId="778"/>
    <cellStyle name="Normal 23" xfId="779"/>
    <cellStyle name="Normal 23 2" xfId="780"/>
    <cellStyle name="Normal 24" xfId="781"/>
    <cellStyle name="Normal 24 2" xfId="782"/>
    <cellStyle name="Normal 25" xfId="783"/>
    <cellStyle name="Normal 25 2" xfId="784"/>
    <cellStyle name="Normal 26" xfId="785"/>
    <cellStyle name="Normal 26 2" xfId="786"/>
    <cellStyle name="Normal 27" xfId="787"/>
    <cellStyle name="Normal 27 2" xfId="788"/>
    <cellStyle name="Normal 28" xfId="789"/>
    <cellStyle name="Normal 28 2" xfId="790"/>
    <cellStyle name="Normal 29" xfId="791"/>
    <cellStyle name="Normal 29 2" xfId="792"/>
    <cellStyle name="Normal 3" xfId="793"/>
    <cellStyle name="Normal 3 10" xfId="794"/>
    <cellStyle name="Normal 3 11" xfId="795"/>
    <cellStyle name="Normal 3 12" xfId="796"/>
    <cellStyle name="Normal 3 13" xfId="797"/>
    <cellStyle name="Normal 3 14" xfId="798"/>
    <cellStyle name="Normal 3 15" xfId="799"/>
    <cellStyle name="Normal 3 16" xfId="800"/>
    <cellStyle name="Normal 3 17" xfId="801"/>
    <cellStyle name="Normal 3 2" xfId="802"/>
    <cellStyle name="Normal 3 3" xfId="803"/>
    <cellStyle name="Normal 3 4" xfId="804"/>
    <cellStyle name="Normal 3 5" xfId="805"/>
    <cellStyle name="Normal 3 6" xfId="806"/>
    <cellStyle name="Normal 3 7" xfId="807"/>
    <cellStyle name="Normal 3 8" xfId="808"/>
    <cellStyle name="Normal 3 9" xfId="809"/>
    <cellStyle name="Normal 3_LGEElecBillingDeterminants2009-10" xfId="810"/>
    <cellStyle name="Normal 30" xfId="811"/>
    <cellStyle name="Normal 30 2" xfId="812"/>
    <cellStyle name="Normal 31" xfId="813"/>
    <cellStyle name="Normal 31 2" xfId="814"/>
    <cellStyle name="Normal 32" xfId="815"/>
    <cellStyle name="Normal 32 2" xfId="816"/>
    <cellStyle name="Normal 33" xfId="817"/>
    <cellStyle name="Normal 33 2" xfId="818"/>
    <cellStyle name="Normal 34" xfId="819"/>
    <cellStyle name="Normal 34 2" xfId="820"/>
    <cellStyle name="Normal 4" xfId="821"/>
    <cellStyle name="Normal 4 2" xfId="822"/>
    <cellStyle name="Normal 4 3" xfId="823"/>
    <cellStyle name="Normal 4_Regenerated Revenues LGE Gas 10312009" xfId="824"/>
    <cellStyle name="Normal 5" xfId="825"/>
    <cellStyle name="Normal 5 2" xfId="826"/>
    <cellStyle name="Normal 5 3" xfId="827"/>
    <cellStyle name="Normal 5 4" xfId="828"/>
    <cellStyle name="Normal 6" xfId="829"/>
    <cellStyle name="Normal 6 2" xfId="830"/>
    <cellStyle name="Normal 6 3" xfId="831"/>
    <cellStyle name="Normal 6 4" xfId="832"/>
    <cellStyle name="Normal 6 4 2" xfId="833"/>
    <cellStyle name="Normal 7" xfId="834"/>
    <cellStyle name="Normal 7 2" xfId="835"/>
    <cellStyle name="Normal 7 3" xfId="836"/>
    <cellStyle name="Normal 7 4" xfId="837"/>
    <cellStyle name="Normal 8" xfId="838"/>
    <cellStyle name="Normal 8 2" xfId="839"/>
    <cellStyle name="Normal 8 3" xfId="840"/>
    <cellStyle name="Normal 8 4" xfId="841"/>
    <cellStyle name="Normal 9" xfId="842"/>
    <cellStyle name="Normal 9 2" xfId="843"/>
    <cellStyle name="Normal 9 3" xfId="844"/>
    <cellStyle name="Normal 9 4" xfId="845"/>
    <cellStyle name="Normal_ESM Forms 2002 for Doug" xfId="846"/>
    <cellStyle name="Normal_KU VDT Plan Exhibits 12mosJune2005 v7 (FILED)" xfId="847"/>
    <cellStyle name="Note 10" xfId="848"/>
    <cellStyle name="Note 11" xfId="849"/>
    <cellStyle name="Note 12" xfId="850"/>
    <cellStyle name="Note 13" xfId="851"/>
    <cellStyle name="Note 14" xfId="852"/>
    <cellStyle name="Note 2" xfId="853"/>
    <cellStyle name="Note 2 2" xfId="854"/>
    <cellStyle name="Note 2 3" xfId="855"/>
    <cellStyle name="Note 3" xfId="856"/>
    <cellStyle name="Note 3 2" xfId="857"/>
    <cellStyle name="Note 3 3" xfId="858"/>
    <cellStyle name="Note 4" xfId="859"/>
    <cellStyle name="Note 4 2" xfId="860"/>
    <cellStyle name="Note 4 3" xfId="861"/>
    <cellStyle name="Note 5" xfId="862"/>
    <cellStyle name="Note 5 2" xfId="863"/>
    <cellStyle name="Note 5 3" xfId="864"/>
    <cellStyle name="Note 6" xfId="865"/>
    <cellStyle name="Note 6 2" xfId="866"/>
    <cellStyle name="Note 6 3" xfId="867"/>
    <cellStyle name="Note 7" xfId="868"/>
    <cellStyle name="Note 7 2" xfId="869"/>
    <cellStyle name="Note 7 3" xfId="870"/>
    <cellStyle name="Note 8" xfId="871"/>
    <cellStyle name="Note 8 2" xfId="872"/>
    <cellStyle name="Note 8 3" xfId="873"/>
    <cellStyle name="Note 9" xfId="874"/>
    <cellStyle name="Output 10" xfId="875"/>
    <cellStyle name="Output 11" xfId="876"/>
    <cellStyle name="Output 12" xfId="877"/>
    <cellStyle name="Output 13" xfId="878"/>
    <cellStyle name="Output 14" xfId="879"/>
    <cellStyle name="Output 15" xfId="880"/>
    <cellStyle name="Output 16" xfId="881"/>
    <cellStyle name="Output 2" xfId="882"/>
    <cellStyle name="Output 3" xfId="883"/>
    <cellStyle name="Output 4" xfId="884"/>
    <cellStyle name="Output 5" xfId="885"/>
    <cellStyle name="Output 6" xfId="886"/>
    <cellStyle name="Output 7" xfId="887"/>
    <cellStyle name="Output 8" xfId="888"/>
    <cellStyle name="Output 9" xfId="889"/>
    <cellStyle name="Output Amounts" xfId="890"/>
    <cellStyle name="Output Column Headings" xfId="891"/>
    <cellStyle name="Output Column Headings 2" xfId="892"/>
    <cellStyle name="Output Column Headings 3" xfId="893"/>
    <cellStyle name="Output Column Headings 4" xfId="894"/>
    <cellStyle name="Output Column Headings 5" xfId="895"/>
    <cellStyle name="Output Column Headings 6" xfId="896"/>
    <cellStyle name="Output Column Headings 7" xfId="897"/>
    <cellStyle name="Output Column Headings 8" xfId="898"/>
    <cellStyle name="Output Column Headings 9" xfId="899"/>
    <cellStyle name="Output Column Headings_Regenerated Revenues LGE Gas 2008-04 with Elec Gen-Seelye final version " xfId="900"/>
    <cellStyle name="Output Line Items" xfId="901"/>
    <cellStyle name="Output Line Items 2" xfId="902"/>
    <cellStyle name="Output Line Items 3" xfId="903"/>
    <cellStyle name="Output Line Items 4" xfId="904"/>
    <cellStyle name="Output Line Items 5" xfId="905"/>
    <cellStyle name="Output Line Items 6" xfId="906"/>
    <cellStyle name="Output Line Items 7" xfId="907"/>
    <cellStyle name="Output Line Items 8" xfId="908"/>
    <cellStyle name="Output Line Items 9" xfId="909"/>
    <cellStyle name="Output Line Items_Regenerated Revenues LGE Gas 2008-04 with Elec Gen-Seelye final version " xfId="910"/>
    <cellStyle name="Output Report Heading" xfId="911"/>
    <cellStyle name="Output Report Heading 2" xfId="912"/>
    <cellStyle name="Output Report Heading 3" xfId="913"/>
    <cellStyle name="Output Report Heading 4" xfId="914"/>
    <cellStyle name="Output Report Heading 5" xfId="915"/>
    <cellStyle name="Output Report Heading 6" xfId="916"/>
    <cellStyle name="Output Report Heading 7" xfId="917"/>
    <cellStyle name="Output Report Heading 8" xfId="918"/>
    <cellStyle name="Output Report Heading 9" xfId="919"/>
    <cellStyle name="Output Report Heading_Regenerated Revenues LGE Gas 2008-04 with Elec Gen-Seelye final version " xfId="920"/>
    <cellStyle name="Output Report Title" xfId="921"/>
    <cellStyle name="Output Report Title 2" xfId="922"/>
    <cellStyle name="Output Report Title 3" xfId="923"/>
    <cellStyle name="Output Report Title 4" xfId="924"/>
    <cellStyle name="Output Report Title 5" xfId="925"/>
    <cellStyle name="Output Report Title 6" xfId="926"/>
    <cellStyle name="Output Report Title 7" xfId="927"/>
    <cellStyle name="Output Report Title 8" xfId="928"/>
    <cellStyle name="Output Report Title 9" xfId="929"/>
    <cellStyle name="Output Report Title_Regenerated Revenues LGE Gas 2008-04 with Elec Gen-Seelye final version " xfId="930"/>
    <cellStyle name="Percent" xfId="3" builtinId="5"/>
    <cellStyle name="Percent 2" xfId="5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6" xfId="937"/>
    <cellStyle name="Percent 7" xfId="938"/>
    <cellStyle name="Percent 7 2" xfId="939"/>
    <cellStyle name="Percent 8" xfId="940"/>
    <cellStyle name="Percent 8 2" xfId="941"/>
    <cellStyle name="Percent 9" xfId="942"/>
    <cellStyle name="Percent 9 2" xfId="943"/>
    <cellStyle name="PSChar" xfId="944"/>
    <cellStyle name="PSDate" xfId="945"/>
    <cellStyle name="PSDec" xfId="946"/>
    <cellStyle name="PSHeading" xfId="947"/>
    <cellStyle name="PSInt" xfId="948"/>
    <cellStyle name="PSSpacer" xfId="949"/>
    <cellStyle name="ReportTitlePrompt" xfId="950"/>
    <cellStyle name="ReportTitleValue" xfId="951"/>
    <cellStyle name="RowAcctAbovePrompt" xfId="952"/>
    <cellStyle name="RowAcctSOBAbovePrompt" xfId="953"/>
    <cellStyle name="RowAcctSOBValue" xfId="954"/>
    <cellStyle name="RowAcctValue" xfId="955"/>
    <cellStyle name="RowAttrAbovePrompt" xfId="956"/>
    <cellStyle name="RowAttrValue" xfId="957"/>
    <cellStyle name="RowColSetAbovePrompt" xfId="958"/>
    <cellStyle name="RowColSetLeftPrompt" xfId="959"/>
    <cellStyle name="RowColSetValue" xfId="960"/>
    <cellStyle name="RowLeftPrompt" xfId="961"/>
    <cellStyle name="SampleUsingFormatMask" xfId="962"/>
    <cellStyle name="SampleWithNoFormatMask" xfId="963"/>
    <cellStyle name="SAPBEXaggData" xfId="964"/>
    <cellStyle name="SAPBEXaggDataEmph" xfId="965"/>
    <cellStyle name="SAPBEXaggItem" xfId="966"/>
    <cellStyle name="SAPBEXaggItemX" xfId="967"/>
    <cellStyle name="SAPBEXchaText" xfId="968"/>
    <cellStyle name="SAPBEXexcBad7" xfId="969"/>
    <cellStyle name="SAPBEXexcBad8" xfId="970"/>
    <cellStyle name="SAPBEXexcBad9" xfId="971"/>
    <cellStyle name="SAPBEXexcCritical4" xfId="972"/>
    <cellStyle name="SAPBEXexcCritical5" xfId="973"/>
    <cellStyle name="SAPBEXexcCritical6" xfId="974"/>
    <cellStyle name="SAPBEXexcGood1" xfId="975"/>
    <cellStyle name="SAPBEXexcGood2" xfId="976"/>
    <cellStyle name="SAPBEXexcGood3" xfId="977"/>
    <cellStyle name="SAPBEXfilterDrill" xfId="978"/>
    <cellStyle name="SAPBEXfilterItem" xfId="979"/>
    <cellStyle name="SAPBEXfilterText" xfId="980"/>
    <cellStyle name="SAPBEXfilterText 2" xfId="981"/>
    <cellStyle name="SAPBEXformats" xfId="982"/>
    <cellStyle name="SAPBEXheaderItem" xfId="983"/>
    <cellStyle name="SAPBEXheaderText" xfId="984"/>
    <cellStyle name="SAPBEXHLevel0" xfId="985"/>
    <cellStyle name="SAPBEXHLevel0 2" xfId="986"/>
    <cellStyle name="SAPBEXHLevel0X" xfId="987"/>
    <cellStyle name="SAPBEXHLevel0X 2" xfId="988"/>
    <cellStyle name="SAPBEXHLevel1" xfId="989"/>
    <cellStyle name="SAPBEXHLevel1 2" xfId="990"/>
    <cellStyle name="SAPBEXHLevel1X" xfId="991"/>
    <cellStyle name="SAPBEXHLevel1X 2" xfId="992"/>
    <cellStyle name="SAPBEXHLevel2" xfId="993"/>
    <cellStyle name="SAPBEXHLevel2 2" xfId="994"/>
    <cellStyle name="SAPBEXHLevel2X" xfId="995"/>
    <cellStyle name="SAPBEXHLevel2X 2" xfId="996"/>
    <cellStyle name="SAPBEXHLevel3" xfId="997"/>
    <cellStyle name="SAPBEXHLevel3 2" xfId="998"/>
    <cellStyle name="SAPBEXHLevel3X" xfId="999"/>
    <cellStyle name="SAPBEXHLevel3X 2" xfId="1000"/>
    <cellStyle name="SAPBEXresData" xfId="1001"/>
    <cellStyle name="SAPBEXresDataEmph" xfId="1002"/>
    <cellStyle name="SAPBEXresItem" xfId="1003"/>
    <cellStyle name="SAPBEXresItemX" xfId="1004"/>
    <cellStyle name="SAPBEXstdData" xfId="1005"/>
    <cellStyle name="SAPBEXstdDataEmph" xfId="1006"/>
    <cellStyle name="SAPBEXstdItem" xfId="1007"/>
    <cellStyle name="SAPBEXstdItemX" xfId="1008"/>
    <cellStyle name="SAPBEXtitle" xfId="1009"/>
    <cellStyle name="SAPBEXundefined" xfId="1010"/>
    <cellStyle name="SAPLocked" xfId="1011"/>
    <cellStyle name="Standard_CORE_20040805_Movement types_Sets_V0.1_e" xfId="1012"/>
    <cellStyle name="STYL5 - Style5" xfId="1013"/>
    <cellStyle name="STYL5 - Style5 2" xfId="1014"/>
    <cellStyle name="STYL5 - Style5 2 2" xfId="1015"/>
    <cellStyle name="STYL5 - Style5 3" xfId="1016"/>
    <cellStyle name="STYL5 - Style5 3 2" xfId="1017"/>
    <cellStyle name="STYL6 - Style6" xfId="1018"/>
    <cellStyle name="STYL6 - Style6 2" xfId="1019"/>
    <cellStyle name="STYL6 - Style6 2 2" xfId="1020"/>
    <cellStyle name="STYL6 - Style6 3" xfId="1021"/>
    <cellStyle name="STYL6 - Style6 3 2" xfId="1022"/>
    <cellStyle name="STYLE1 - Style1" xfId="1023"/>
    <cellStyle name="STYLE1 - Style1 2" xfId="1024"/>
    <cellStyle name="STYLE1 - Style1 2 2" xfId="1025"/>
    <cellStyle name="STYLE1 - Style1 3" xfId="1026"/>
    <cellStyle name="STYLE1 - Style1 3 2" xfId="1027"/>
    <cellStyle name="STYLE2 - Style2" xfId="1028"/>
    <cellStyle name="STYLE2 - Style2 2" xfId="1029"/>
    <cellStyle name="STYLE2 - Style2 2 2" xfId="1030"/>
    <cellStyle name="STYLE2 - Style2 3" xfId="1031"/>
    <cellStyle name="STYLE2 - Style2 3 2" xfId="1032"/>
    <cellStyle name="STYLE3 - Style3" xfId="1033"/>
    <cellStyle name="STYLE3 - Style3 2" xfId="1034"/>
    <cellStyle name="STYLE3 - Style3 2 2" xfId="1035"/>
    <cellStyle name="STYLE3 - Style3 3" xfId="1036"/>
    <cellStyle name="STYLE3 - Style3 3 2" xfId="1037"/>
    <cellStyle name="STYLE4 - Style4" xfId="1038"/>
    <cellStyle name="STYLE4 - Style4 2" xfId="1039"/>
    <cellStyle name="STYLE4 - Style4 2 2" xfId="1040"/>
    <cellStyle name="STYLE4 - Style4 3" xfId="1041"/>
    <cellStyle name="STYLE4 - Style4 3 2" xfId="1042"/>
    <cellStyle name="Title 10" xfId="1043"/>
    <cellStyle name="Title 11" xfId="1044"/>
    <cellStyle name="Title 12" xfId="1045"/>
    <cellStyle name="Title 13" xfId="1046"/>
    <cellStyle name="Title 14" xfId="1047"/>
    <cellStyle name="Title 15" xfId="1048"/>
    <cellStyle name="Title 16" xfId="1049"/>
    <cellStyle name="Title 2" xfId="1050"/>
    <cellStyle name="Title 3" xfId="1051"/>
    <cellStyle name="Title 4" xfId="1052"/>
    <cellStyle name="Title 5" xfId="1053"/>
    <cellStyle name="Title 6" xfId="1054"/>
    <cellStyle name="Title 7" xfId="1055"/>
    <cellStyle name="Title 8" xfId="1056"/>
    <cellStyle name="Title 9" xfId="1057"/>
    <cellStyle name="Total 10" xfId="1058"/>
    <cellStyle name="Total 11" xfId="1059"/>
    <cellStyle name="Total 12" xfId="1060"/>
    <cellStyle name="Total 13" xfId="1061"/>
    <cellStyle name="Total 14" xfId="1062"/>
    <cellStyle name="Total 15" xfId="1063"/>
    <cellStyle name="Total 16" xfId="1064"/>
    <cellStyle name="Total 2" xfId="1065"/>
    <cellStyle name="Total 2 2" xfId="1066"/>
    <cellStyle name="Total 3" xfId="1067"/>
    <cellStyle name="Total 3 2" xfId="1068"/>
    <cellStyle name="Total 4" xfId="1069"/>
    <cellStyle name="Total 5" xfId="1070"/>
    <cellStyle name="Total 6" xfId="1071"/>
    <cellStyle name="Total 7" xfId="1072"/>
    <cellStyle name="Total 8" xfId="1073"/>
    <cellStyle name="Total 9" xfId="1074"/>
    <cellStyle name="Undefiniert" xfId="1075"/>
    <cellStyle name="Undefiniert 2" xfId="1076"/>
    <cellStyle name="UploadThisRowValue" xfId="1077"/>
    <cellStyle name="Warning Text 10" xfId="1078"/>
    <cellStyle name="Warning Text 11" xfId="1079"/>
    <cellStyle name="Warning Text 12" xfId="1080"/>
    <cellStyle name="Warning Text 13" xfId="1081"/>
    <cellStyle name="Warning Text 14" xfId="1082"/>
    <cellStyle name="Warning Text 15" xfId="1083"/>
    <cellStyle name="Warning Text 16" xfId="1084"/>
    <cellStyle name="Warning Text 2" xfId="1085"/>
    <cellStyle name="Warning Text 3" xfId="1086"/>
    <cellStyle name="Warning Text 4" xfId="1087"/>
    <cellStyle name="Warning Text 5" xfId="1088"/>
    <cellStyle name="Warning Text 6" xfId="1089"/>
    <cellStyle name="Warning Text 7" xfId="1090"/>
    <cellStyle name="Warning Text 8" xfId="1091"/>
    <cellStyle name="Warning Text 9" xfId="109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U%20Revised%20FAC%20Database%20for%20Consoslidated%20Loss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2012/Revenue%20Requirements/KU%20Revenue%20Requirements%20TY03312012%20v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 Filed"/>
      <sheetName val="As Proposed"/>
      <sheetName val="Form A As Filed"/>
      <sheetName val="Form A As Proposed"/>
      <sheetName val="Change in Form A"/>
      <sheetName val="1.01"/>
    </sheetNames>
    <sheetDataSet>
      <sheetData sheetId="0">
        <row r="5">
          <cell r="O5">
            <v>15</v>
          </cell>
          <cell r="P5">
            <v>16</v>
          </cell>
          <cell r="Q5">
            <v>17</v>
          </cell>
          <cell r="R5">
            <v>18</v>
          </cell>
          <cell r="U5">
            <v>21</v>
          </cell>
        </row>
        <row r="6">
          <cell r="A6">
            <v>40210</v>
          </cell>
          <cell r="B6">
            <v>40939137.509999998</v>
          </cell>
          <cell r="E6">
            <v>100003.86</v>
          </cell>
          <cell r="F6">
            <v>0</v>
          </cell>
          <cell r="I6">
            <v>0</v>
          </cell>
          <cell r="J6">
            <v>868837.62</v>
          </cell>
          <cell r="K6">
            <v>152959</v>
          </cell>
          <cell r="L6">
            <v>108708</v>
          </cell>
          <cell r="M6">
            <v>82614</v>
          </cell>
          <cell r="N6">
            <v>-38363</v>
          </cell>
          <cell r="O6">
            <v>15208626.960000001</v>
          </cell>
          <cell r="P6">
            <v>8763876.4399999995</v>
          </cell>
          <cell r="Q6">
            <v>736376.57</v>
          </cell>
          <cell r="R6">
            <v>0</v>
          </cell>
          <cell r="S6">
            <v>0</v>
          </cell>
          <cell r="T6">
            <v>4706.07</v>
          </cell>
          <cell r="U6">
            <v>0</v>
          </cell>
          <cell r="V6">
            <v>3920976.97</v>
          </cell>
          <cell r="W6">
            <v>0</v>
          </cell>
          <cell r="X6">
            <v>0</v>
          </cell>
          <cell r="Y6">
            <v>3895477.74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1576700000</v>
          </cell>
          <cell r="AH6">
            <v>646370000</v>
          </cell>
          <cell r="AI6">
            <v>461264000</v>
          </cell>
          <cell r="AJ6">
            <v>0</v>
          </cell>
          <cell r="AK6">
            <v>0</v>
          </cell>
          <cell r="AL6">
            <v>-1918000</v>
          </cell>
          <cell r="AM6">
            <v>119301000</v>
          </cell>
          <cell r="AN6">
            <v>-185655771</v>
          </cell>
          <cell r="AO6">
            <v>-66354771</v>
          </cell>
          <cell r="AP6">
            <v>135531000</v>
          </cell>
          <cell r="AQ6">
            <v>0</v>
          </cell>
          <cell r="AR6">
            <v>134715000</v>
          </cell>
          <cell r="AS6">
            <v>0</v>
          </cell>
          <cell r="AT6">
            <v>0</v>
          </cell>
          <cell r="AU6">
            <v>113769523</v>
          </cell>
          <cell r="AV6">
            <v>0</v>
          </cell>
          <cell r="AW6">
            <v>184079697</v>
          </cell>
          <cell r="AX6">
            <v>46704000</v>
          </cell>
          <cell r="AY6">
            <v>0</v>
          </cell>
          <cell r="AZ6">
            <v>0</v>
          </cell>
          <cell r="BA6">
            <v>1680572594</v>
          </cell>
          <cell r="BB6">
            <v>16323</v>
          </cell>
          <cell r="BC6">
            <v>2781627</v>
          </cell>
          <cell r="BD6">
            <v>0</v>
          </cell>
          <cell r="BE6">
            <v>2.7539999999999999E-2</v>
          </cell>
          <cell r="BF6">
            <v>-2.2000000000000001E-4</v>
          </cell>
          <cell r="BG6">
            <v>53988733</v>
          </cell>
          <cell r="BH6">
            <v>1976510551</v>
          </cell>
          <cell r="BI6"/>
          <cell r="BJ6"/>
          <cell r="BK6">
            <v>41869616</v>
          </cell>
          <cell r="BL6">
            <v>15203921</v>
          </cell>
          <cell r="BM6">
            <v>3921232</v>
          </cell>
          <cell r="BN6">
            <v>-836428</v>
          </cell>
          <cell r="BO6">
            <v>1007</v>
          </cell>
          <cell r="BP6">
            <v>0</v>
          </cell>
          <cell r="BQ6">
            <v>0</v>
          </cell>
        </row>
        <row r="7">
          <cell r="A7">
            <v>40238</v>
          </cell>
          <cell r="B7">
            <v>31949051.440000001</v>
          </cell>
          <cell r="E7">
            <v>225134.54</v>
          </cell>
          <cell r="F7">
            <v>-481.15</v>
          </cell>
          <cell r="I7">
            <v>0.02</v>
          </cell>
          <cell r="J7">
            <v>723784.89</v>
          </cell>
          <cell r="K7">
            <v>1267388</v>
          </cell>
          <cell r="L7">
            <v>442278</v>
          </cell>
          <cell r="M7">
            <v>1188751</v>
          </cell>
          <cell r="N7">
            <v>-363641</v>
          </cell>
          <cell r="O7">
            <v>15214538.32</v>
          </cell>
          <cell r="P7">
            <v>6123135.9100000001</v>
          </cell>
          <cell r="Q7">
            <v>172564.82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1000823.92</v>
          </cell>
          <cell r="W7">
            <v>0</v>
          </cell>
          <cell r="X7">
            <v>0</v>
          </cell>
          <cell r="Y7">
            <v>996315.52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1262023000</v>
          </cell>
          <cell r="AH7">
            <v>595482000</v>
          </cell>
          <cell r="AI7">
            <v>317594000</v>
          </cell>
          <cell r="AJ7">
            <v>0</v>
          </cell>
          <cell r="AK7">
            <v>0</v>
          </cell>
          <cell r="AL7">
            <v>-4538000</v>
          </cell>
          <cell r="AM7">
            <v>25029000</v>
          </cell>
          <cell r="AN7">
            <v>144693801</v>
          </cell>
          <cell r="AO7">
            <v>169722801</v>
          </cell>
          <cell r="AP7">
            <v>34792000</v>
          </cell>
          <cell r="AQ7">
            <v>0</v>
          </cell>
          <cell r="AR7">
            <v>34646000</v>
          </cell>
          <cell r="AS7">
            <v>0</v>
          </cell>
          <cell r="AT7">
            <v>0</v>
          </cell>
          <cell r="AU7">
            <v>92642653</v>
          </cell>
          <cell r="AV7">
            <v>0</v>
          </cell>
          <cell r="AW7">
            <v>52138023</v>
          </cell>
          <cell r="AX7">
            <v>45284400</v>
          </cell>
          <cell r="AY7">
            <v>0</v>
          </cell>
          <cell r="AZ7">
            <v>0</v>
          </cell>
          <cell r="BA7">
            <v>1618732269</v>
          </cell>
          <cell r="BB7">
            <v>12670</v>
          </cell>
          <cell r="BC7">
            <v>2688085</v>
          </cell>
          <cell r="BD7">
            <v>0</v>
          </cell>
          <cell r="BE7">
            <v>2.7539999999999999E-2</v>
          </cell>
          <cell r="BF7">
            <v>0</v>
          </cell>
          <cell r="BG7">
            <v>47496960</v>
          </cell>
          <cell r="BH7">
            <v>1724398249</v>
          </cell>
          <cell r="BI7">
            <v>1.1E-4</v>
          </cell>
          <cell r="BJ7"/>
          <cell r="BK7">
            <v>32533849</v>
          </cell>
          <cell r="BL7">
            <v>15214539</v>
          </cell>
          <cell r="BM7">
            <v>1000869</v>
          </cell>
          <cell r="BN7">
            <v>-749441</v>
          </cell>
          <cell r="BO7">
            <v>559</v>
          </cell>
          <cell r="BP7">
            <v>0</v>
          </cell>
          <cell r="BQ7">
            <v>0</v>
          </cell>
        </row>
        <row r="8">
          <cell r="A8">
            <v>40269</v>
          </cell>
          <cell r="B8">
            <v>25738367.699999999</v>
          </cell>
          <cell r="E8">
            <v>325606.53999999998</v>
          </cell>
          <cell r="F8">
            <v>0</v>
          </cell>
          <cell r="I8">
            <v>0</v>
          </cell>
          <cell r="J8">
            <v>1173106.31</v>
          </cell>
          <cell r="K8">
            <v>423869</v>
          </cell>
          <cell r="L8">
            <v>385458</v>
          </cell>
          <cell r="M8">
            <v>15322</v>
          </cell>
          <cell r="N8">
            <v>0</v>
          </cell>
          <cell r="O8">
            <v>12717983.1</v>
          </cell>
          <cell r="P8">
            <v>9650455.3800000008</v>
          </cell>
          <cell r="Q8">
            <v>99474.83</v>
          </cell>
          <cell r="R8">
            <v>0</v>
          </cell>
          <cell r="S8">
            <v>241.85</v>
          </cell>
          <cell r="T8">
            <v>0</v>
          </cell>
          <cell r="U8">
            <v>0</v>
          </cell>
          <cell r="V8">
            <v>574530.71</v>
          </cell>
          <cell r="W8">
            <v>0</v>
          </cell>
          <cell r="X8">
            <v>0</v>
          </cell>
          <cell r="Y8">
            <v>556113.43000000005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1009027000</v>
          </cell>
          <cell r="AH8">
            <v>580335000</v>
          </cell>
          <cell r="AI8">
            <v>505251000</v>
          </cell>
          <cell r="AJ8">
            <v>0</v>
          </cell>
          <cell r="AK8">
            <v>11000</v>
          </cell>
          <cell r="AL8">
            <v>-6133000</v>
          </cell>
          <cell r="AM8">
            <v>8145000</v>
          </cell>
          <cell r="AN8">
            <v>76098647</v>
          </cell>
          <cell r="AO8">
            <v>84243647</v>
          </cell>
          <cell r="AP8">
            <v>21075000</v>
          </cell>
          <cell r="AQ8">
            <v>0</v>
          </cell>
          <cell r="AR8">
            <v>20379000</v>
          </cell>
          <cell r="AS8">
            <v>0</v>
          </cell>
          <cell r="AT8">
            <v>0</v>
          </cell>
          <cell r="AU8">
            <v>63721570</v>
          </cell>
          <cell r="AV8">
            <v>0</v>
          </cell>
          <cell r="AW8">
            <v>85851253</v>
          </cell>
          <cell r="AX8">
            <v>42398800</v>
          </cell>
          <cell r="AY8">
            <v>0</v>
          </cell>
          <cell r="AZ8">
            <v>0</v>
          </cell>
          <cell r="BA8">
            <v>1390766758</v>
          </cell>
          <cell r="BB8">
            <v>7122</v>
          </cell>
          <cell r="BC8">
            <v>1858050</v>
          </cell>
          <cell r="BD8">
            <v>0</v>
          </cell>
          <cell r="BE8">
            <v>2.7539999999999999E-2</v>
          </cell>
          <cell r="BF8">
            <v>-8.5999999999999998E-4</v>
          </cell>
          <cell r="BG8">
            <v>39319961</v>
          </cell>
          <cell r="BH8">
            <v>1473693945</v>
          </cell>
          <cell r="BI8"/>
          <cell r="BJ8"/>
          <cell r="BK8">
            <v>27237081</v>
          </cell>
          <cell r="BL8">
            <v>12717983</v>
          </cell>
          <cell r="BM8">
            <v>574714</v>
          </cell>
          <cell r="BN8">
            <v>60389</v>
          </cell>
          <cell r="BO8">
            <v>197</v>
          </cell>
          <cell r="BP8">
            <v>38</v>
          </cell>
          <cell r="BQ8">
            <v>0</v>
          </cell>
        </row>
        <row r="9">
          <cell r="A9">
            <v>40299</v>
          </cell>
          <cell r="B9">
            <v>32977794.080000002</v>
          </cell>
          <cell r="C9">
            <v>142756.87</v>
          </cell>
          <cell r="D9">
            <v>35626.400000000001</v>
          </cell>
          <cell r="E9">
            <v>1202549.81</v>
          </cell>
          <cell r="F9">
            <v>481.15</v>
          </cell>
          <cell r="G9">
            <v>847188.91</v>
          </cell>
          <cell r="H9">
            <v>211424.47</v>
          </cell>
          <cell r="I9">
            <v>0</v>
          </cell>
          <cell r="J9">
            <v>3314626.3</v>
          </cell>
          <cell r="K9">
            <v>1285692</v>
          </cell>
          <cell r="L9">
            <v>949952</v>
          </cell>
          <cell r="M9">
            <v>962102</v>
          </cell>
          <cell r="N9">
            <v>-626362</v>
          </cell>
          <cell r="O9">
            <v>12850660.42</v>
          </cell>
          <cell r="P9">
            <v>7533053.6100000003</v>
          </cell>
          <cell r="Q9">
            <v>205021.56</v>
          </cell>
          <cell r="R9">
            <v>330.68</v>
          </cell>
          <cell r="S9">
            <v>0</v>
          </cell>
          <cell r="T9">
            <v>0</v>
          </cell>
          <cell r="U9">
            <v>0</v>
          </cell>
          <cell r="V9">
            <v>1157070.33</v>
          </cell>
          <cell r="W9">
            <v>28122.38</v>
          </cell>
          <cell r="X9">
            <v>32.26</v>
          </cell>
          <cell r="Y9">
            <v>1045136.48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1292513000</v>
          </cell>
          <cell r="AE9">
            <v>5069000</v>
          </cell>
          <cell r="AF9">
            <v>614000</v>
          </cell>
          <cell r="AG9">
            <v>646000</v>
          </cell>
          <cell r="AH9">
            <v>483838000</v>
          </cell>
          <cell r="AI9">
            <v>358849000</v>
          </cell>
          <cell r="AJ9">
            <v>6000</v>
          </cell>
          <cell r="AK9">
            <v>0</v>
          </cell>
          <cell r="AL9">
            <v>28878000</v>
          </cell>
          <cell r="AM9">
            <v>57878000</v>
          </cell>
          <cell r="AN9">
            <v>47166861</v>
          </cell>
          <cell r="AO9">
            <v>105044861</v>
          </cell>
          <cell r="AP9">
            <v>41837000</v>
          </cell>
          <cell r="AQ9">
            <v>650000</v>
          </cell>
          <cell r="AR9">
            <v>39331000</v>
          </cell>
          <cell r="AS9">
            <v>0</v>
          </cell>
          <cell r="AT9">
            <v>0</v>
          </cell>
          <cell r="AU9">
            <v>66309312</v>
          </cell>
          <cell r="AV9">
            <v>0</v>
          </cell>
          <cell r="AW9">
            <v>104368547</v>
          </cell>
          <cell r="AX9">
            <v>48824800</v>
          </cell>
          <cell r="AY9">
            <v>0</v>
          </cell>
          <cell r="AZ9">
            <v>0</v>
          </cell>
          <cell r="BA9">
            <v>1297459070</v>
          </cell>
          <cell r="BB9">
            <v>5359</v>
          </cell>
          <cell r="BC9">
            <v>1173851</v>
          </cell>
          <cell r="BD9">
            <v>0</v>
          </cell>
          <cell r="BE9">
            <v>2.7539999999999999E-2</v>
          </cell>
          <cell r="BF9">
            <v>1.6100000000000001E-3</v>
          </cell>
          <cell r="BG9">
            <v>48507544</v>
          </cell>
          <cell r="BH9">
            <v>1664254018</v>
          </cell>
          <cell r="BI9"/>
          <cell r="BJ9"/>
          <cell r="BK9">
            <v>36620554</v>
          </cell>
          <cell r="BL9">
            <v>12850662</v>
          </cell>
          <cell r="BM9">
            <v>1157908</v>
          </cell>
          <cell r="BN9">
            <v>-194236</v>
          </cell>
          <cell r="BO9">
            <v>72</v>
          </cell>
          <cell r="BP9">
            <v>135</v>
          </cell>
          <cell r="BQ9">
            <v>113000</v>
          </cell>
        </row>
        <row r="10">
          <cell r="A10">
            <v>40330</v>
          </cell>
          <cell r="B10">
            <v>45534907.869999997</v>
          </cell>
          <cell r="C10">
            <v>1064104.6299999999</v>
          </cell>
          <cell r="D10">
            <v>266888.09000000003</v>
          </cell>
          <cell r="E10">
            <v>1739047.48</v>
          </cell>
          <cell r="F10">
            <v>1435.18</v>
          </cell>
          <cell r="G10">
            <v>1397817.37</v>
          </cell>
          <cell r="H10">
            <v>350586.56</v>
          </cell>
          <cell r="I10">
            <v>206907.56</v>
          </cell>
          <cell r="J10">
            <v>5887811.5899999999</v>
          </cell>
          <cell r="K10">
            <v>1119085</v>
          </cell>
          <cell r="L10">
            <v>864875</v>
          </cell>
          <cell r="M10">
            <v>650243</v>
          </cell>
          <cell r="N10">
            <v>-396033</v>
          </cell>
          <cell r="O10">
            <v>10612470.550000001</v>
          </cell>
          <cell r="P10">
            <v>5052133.49</v>
          </cell>
          <cell r="Q10">
            <v>120188.95</v>
          </cell>
          <cell r="R10">
            <v>407.49</v>
          </cell>
          <cell r="S10">
            <v>0</v>
          </cell>
          <cell r="T10">
            <v>0</v>
          </cell>
          <cell r="U10">
            <v>0</v>
          </cell>
          <cell r="V10">
            <v>368795.85</v>
          </cell>
          <cell r="W10">
            <v>196225.75</v>
          </cell>
          <cell r="X10">
            <v>31.14</v>
          </cell>
          <cell r="Y10">
            <v>165881.89000000001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1738022000</v>
          </cell>
          <cell r="AE10">
            <v>57719000</v>
          </cell>
          <cell r="AF10">
            <v>6997000</v>
          </cell>
          <cell r="AG10">
            <v>7432000</v>
          </cell>
          <cell r="AH10">
            <v>327991000</v>
          </cell>
          <cell r="AI10">
            <v>217108000</v>
          </cell>
          <cell r="AJ10">
            <v>8000</v>
          </cell>
          <cell r="AK10">
            <v>0</v>
          </cell>
          <cell r="AL10">
            <v>-24105000</v>
          </cell>
          <cell r="AM10">
            <v>-17756000</v>
          </cell>
          <cell r="AN10">
            <v>89604658</v>
          </cell>
          <cell r="AO10">
            <v>71848658</v>
          </cell>
          <cell r="AP10">
            <v>8899000</v>
          </cell>
          <cell r="AQ10">
            <v>4252000</v>
          </cell>
          <cell r="AR10">
            <v>4557000</v>
          </cell>
          <cell r="AS10">
            <v>0</v>
          </cell>
          <cell r="AT10">
            <v>0</v>
          </cell>
          <cell r="AU10">
            <v>70450447</v>
          </cell>
          <cell r="AV10">
            <v>0</v>
          </cell>
          <cell r="AW10">
            <v>127849798</v>
          </cell>
          <cell r="AX10">
            <v>61078400</v>
          </cell>
          <cell r="AY10">
            <v>0</v>
          </cell>
          <cell r="AZ10">
            <v>0</v>
          </cell>
          <cell r="BA10">
            <v>1558213081</v>
          </cell>
          <cell r="BB10">
            <v>7599</v>
          </cell>
          <cell r="BC10">
            <v>1490017</v>
          </cell>
          <cell r="BD10">
            <v>0</v>
          </cell>
          <cell r="BE10">
            <v>2.7539999999999999E-2</v>
          </cell>
          <cell r="BF10">
            <v>5.1799999999999997E-3</v>
          </cell>
          <cell r="BG10">
            <v>62873066</v>
          </cell>
          <cell r="BH10">
            <v>1921459336</v>
          </cell>
          <cell r="BI10"/>
          <cell r="BJ10"/>
          <cell r="BK10">
            <v>52352466</v>
          </cell>
          <cell r="BL10">
            <v>10612470</v>
          </cell>
          <cell r="BM10">
            <v>368863</v>
          </cell>
          <cell r="BN10">
            <v>-276993</v>
          </cell>
          <cell r="BO10">
            <v>0</v>
          </cell>
          <cell r="BP10">
            <v>357</v>
          </cell>
          <cell r="BQ10">
            <v>4392000</v>
          </cell>
        </row>
        <row r="11">
          <cell r="A11">
            <v>40360</v>
          </cell>
          <cell r="B11">
            <v>46065888.369999997</v>
          </cell>
          <cell r="C11">
            <v>427.97</v>
          </cell>
          <cell r="D11">
            <v>107.34</v>
          </cell>
          <cell r="E11">
            <v>256065.47</v>
          </cell>
          <cell r="F11">
            <v>0</v>
          </cell>
          <cell r="G11">
            <v>728.46</v>
          </cell>
          <cell r="H11">
            <v>182.7</v>
          </cell>
          <cell r="I11">
            <v>0</v>
          </cell>
          <cell r="J11">
            <v>6868048.75</v>
          </cell>
          <cell r="K11">
            <v>168549</v>
          </cell>
          <cell r="L11">
            <v>80853</v>
          </cell>
          <cell r="M11">
            <v>262601</v>
          </cell>
          <cell r="N11">
            <v>-174905</v>
          </cell>
          <cell r="O11">
            <v>10256369.720000001</v>
          </cell>
          <cell r="P11">
            <v>6616720.9100000001</v>
          </cell>
          <cell r="Q11">
            <v>142952.18</v>
          </cell>
          <cell r="R11">
            <v>0</v>
          </cell>
          <cell r="S11">
            <v>0</v>
          </cell>
          <cell r="T11">
            <v>14320.08</v>
          </cell>
          <cell r="U11">
            <v>0</v>
          </cell>
          <cell r="V11">
            <v>610126.71</v>
          </cell>
          <cell r="W11">
            <v>12822.17</v>
          </cell>
          <cell r="X11">
            <v>0</v>
          </cell>
          <cell r="Y11">
            <v>601500.4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1777121000</v>
          </cell>
          <cell r="AE11">
            <v>0</v>
          </cell>
          <cell r="AF11">
            <v>0</v>
          </cell>
          <cell r="AG11">
            <v>0</v>
          </cell>
          <cell r="AH11">
            <v>359343000</v>
          </cell>
          <cell r="AI11">
            <v>284020000</v>
          </cell>
          <cell r="AJ11">
            <v>0</v>
          </cell>
          <cell r="AK11">
            <v>0</v>
          </cell>
          <cell r="AL11">
            <v>-3264000</v>
          </cell>
          <cell r="AM11">
            <v>-464000</v>
          </cell>
          <cell r="AN11">
            <v>72203660</v>
          </cell>
          <cell r="AO11">
            <v>71739660</v>
          </cell>
          <cell r="AP11">
            <v>16462000</v>
          </cell>
          <cell r="AQ11">
            <v>245000</v>
          </cell>
          <cell r="AR11">
            <v>16332000</v>
          </cell>
          <cell r="AS11">
            <v>0</v>
          </cell>
          <cell r="AT11">
            <v>0</v>
          </cell>
          <cell r="AU11">
            <v>74486450</v>
          </cell>
          <cell r="AV11">
            <v>0</v>
          </cell>
          <cell r="AW11">
            <v>134754603</v>
          </cell>
          <cell r="AX11">
            <v>63821200</v>
          </cell>
          <cell r="AY11">
            <v>0</v>
          </cell>
          <cell r="AZ11">
            <v>0</v>
          </cell>
          <cell r="BA11">
            <v>1710117050</v>
          </cell>
          <cell r="BB11">
            <v>7549</v>
          </cell>
          <cell r="BC11">
            <v>1593488</v>
          </cell>
          <cell r="BD11">
            <v>0</v>
          </cell>
          <cell r="BE11">
            <v>2.7539999999999999E-2</v>
          </cell>
          <cell r="BF11">
            <v>3.3500000000000001E-3</v>
          </cell>
          <cell r="BG11">
            <v>62149794</v>
          </cell>
          <cell r="BH11">
            <v>2012058911</v>
          </cell>
          <cell r="BI11"/>
          <cell r="BJ11"/>
          <cell r="BK11">
            <v>53014807</v>
          </cell>
          <cell r="BL11">
            <v>10242050</v>
          </cell>
          <cell r="BM11">
            <v>610084</v>
          </cell>
          <cell r="BN11">
            <v>496979</v>
          </cell>
          <cell r="BO11">
            <v>0</v>
          </cell>
          <cell r="BP11">
            <v>412</v>
          </cell>
          <cell r="BQ11">
            <v>0</v>
          </cell>
        </row>
        <row r="12">
          <cell r="A12">
            <v>40391</v>
          </cell>
          <cell r="B12">
            <v>45755834.380000003</v>
          </cell>
          <cell r="C12">
            <v>0</v>
          </cell>
          <cell r="D12">
            <v>0</v>
          </cell>
          <cell r="E12">
            <v>262727.71999999997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6919472.5300000003</v>
          </cell>
          <cell r="K12">
            <v>1183126</v>
          </cell>
          <cell r="L12">
            <v>481351</v>
          </cell>
          <cell r="M12">
            <v>1313349</v>
          </cell>
          <cell r="N12">
            <v>-611574</v>
          </cell>
          <cell r="O12">
            <v>14074536.619999999</v>
          </cell>
          <cell r="P12">
            <v>6317868.7699999996</v>
          </cell>
          <cell r="Q12">
            <v>121515.27</v>
          </cell>
          <cell r="R12">
            <v>0</v>
          </cell>
          <cell r="S12">
            <v>0</v>
          </cell>
          <cell r="T12">
            <v>21293.51</v>
          </cell>
          <cell r="U12">
            <v>0</v>
          </cell>
          <cell r="V12">
            <v>514091.37</v>
          </cell>
          <cell r="W12">
            <v>0</v>
          </cell>
          <cell r="X12">
            <v>0</v>
          </cell>
          <cell r="Y12">
            <v>514037.96</v>
          </cell>
          <cell r="Z12">
            <v>0</v>
          </cell>
          <cell r="AA12">
            <v>0</v>
          </cell>
          <cell r="AB12">
            <v>2220402</v>
          </cell>
          <cell r="AC12">
            <v>0</v>
          </cell>
          <cell r="AD12">
            <v>1777392000</v>
          </cell>
          <cell r="AE12">
            <v>0</v>
          </cell>
          <cell r="AF12">
            <v>0</v>
          </cell>
          <cell r="AG12">
            <v>0</v>
          </cell>
          <cell r="AH12">
            <v>424646000</v>
          </cell>
          <cell r="AI12">
            <v>278518000</v>
          </cell>
          <cell r="AJ12">
            <v>0</v>
          </cell>
          <cell r="AK12">
            <v>0</v>
          </cell>
          <cell r="AL12">
            <v>106997000</v>
          </cell>
          <cell r="AM12">
            <v>108366000</v>
          </cell>
          <cell r="AN12">
            <v>139855847</v>
          </cell>
          <cell r="AO12">
            <v>248221847</v>
          </cell>
          <cell r="AP12">
            <v>14803000</v>
          </cell>
          <cell r="AQ12">
            <v>0</v>
          </cell>
          <cell r="AR12">
            <v>14803000</v>
          </cell>
          <cell r="AS12">
            <v>0</v>
          </cell>
          <cell r="AT12">
            <v>0</v>
          </cell>
          <cell r="AU12">
            <v>75857815</v>
          </cell>
          <cell r="AV12">
            <v>0</v>
          </cell>
          <cell r="AW12">
            <v>136655057</v>
          </cell>
          <cell r="AX12">
            <v>65168800</v>
          </cell>
          <cell r="AY12">
            <v>0</v>
          </cell>
          <cell r="AZ12">
            <v>0</v>
          </cell>
          <cell r="BA12">
            <v>1744276992</v>
          </cell>
          <cell r="BB12">
            <v>8619</v>
          </cell>
          <cell r="BC12">
            <v>1694870</v>
          </cell>
          <cell r="BD12">
            <v>0</v>
          </cell>
          <cell r="BE12">
            <v>2.7539999999999999E-2</v>
          </cell>
          <cell r="BF12">
            <v>1.4300000000000001E-3</v>
          </cell>
          <cell r="BG12">
            <v>63147936</v>
          </cell>
          <cell r="BH12">
            <v>2179683175</v>
          </cell>
          <cell r="BI12"/>
          <cell r="BJ12"/>
          <cell r="BK12">
            <v>52326461</v>
          </cell>
          <cell r="BL12">
            <v>14053243</v>
          </cell>
          <cell r="BM12">
            <v>514092</v>
          </cell>
          <cell r="BN12">
            <v>497274</v>
          </cell>
          <cell r="BO12">
            <v>0</v>
          </cell>
          <cell r="BP12">
            <v>414</v>
          </cell>
          <cell r="BQ12">
            <v>0</v>
          </cell>
        </row>
        <row r="13">
          <cell r="A13">
            <v>40422</v>
          </cell>
          <cell r="B13">
            <v>35249169.299999997</v>
          </cell>
          <cell r="C13">
            <v>431866.7</v>
          </cell>
          <cell r="D13">
            <v>108035.77</v>
          </cell>
          <cell r="E13">
            <v>539065.42000000004</v>
          </cell>
          <cell r="F13">
            <v>13.75</v>
          </cell>
          <cell r="G13">
            <v>233901.28</v>
          </cell>
          <cell r="H13">
            <v>58512.75</v>
          </cell>
          <cell r="I13">
            <v>0</v>
          </cell>
          <cell r="J13">
            <v>3159147.2</v>
          </cell>
          <cell r="K13">
            <v>1589298</v>
          </cell>
          <cell r="L13">
            <v>658733</v>
          </cell>
          <cell r="M13">
            <v>1146147</v>
          </cell>
          <cell r="N13">
            <v>-215582</v>
          </cell>
          <cell r="O13">
            <v>12281838.539999999</v>
          </cell>
          <cell r="P13">
            <v>8184559.3700000001</v>
          </cell>
          <cell r="Q13">
            <v>112117.4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505178.36</v>
          </cell>
          <cell r="W13">
            <v>0</v>
          </cell>
          <cell r="X13">
            <v>0</v>
          </cell>
          <cell r="Y13">
            <v>501425.53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1338539000</v>
          </cell>
          <cell r="AE13">
            <v>23786000</v>
          </cell>
          <cell r="AF13">
            <v>2877000</v>
          </cell>
          <cell r="AG13">
            <v>3054000</v>
          </cell>
          <cell r="AH13">
            <v>497808000</v>
          </cell>
          <cell r="AI13">
            <v>398552000</v>
          </cell>
          <cell r="AJ13">
            <v>0</v>
          </cell>
          <cell r="AK13">
            <v>0</v>
          </cell>
          <cell r="AL13">
            <v>22532000</v>
          </cell>
          <cell r="AM13">
            <v>35138000</v>
          </cell>
          <cell r="AN13">
            <v>107155488</v>
          </cell>
          <cell r="AO13">
            <v>142293488</v>
          </cell>
          <cell r="AP13">
            <v>17577000</v>
          </cell>
          <cell r="AQ13">
            <v>0</v>
          </cell>
          <cell r="AR13">
            <v>17468000</v>
          </cell>
          <cell r="AS13">
            <v>0</v>
          </cell>
          <cell r="AT13">
            <v>0</v>
          </cell>
          <cell r="AU13">
            <v>65993798</v>
          </cell>
          <cell r="AV13">
            <v>0</v>
          </cell>
          <cell r="AW13">
            <v>109254725</v>
          </cell>
          <cell r="AX13">
            <v>51643200</v>
          </cell>
          <cell r="AY13">
            <v>0</v>
          </cell>
          <cell r="AZ13">
            <v>0</v>
          </cell>
          <cell r="BA13">
            <v>1669223615</v>
          </cell>
          <cell r="BB13">
            <v>6157</v>
          </cell>
          <cell r="BC13">
            <v>1772017</v>
          </cell>
          <cell r="BD13">
            <v>0</v>
          </cell>
          <cell r="BE13">
            <v>2.7539999999999999E-2</v>
          </cell>
          <cell r="BF13">
            <v>1.3500000000000001E-3</v>
          </cell>
          <cell r="BG13">
            <v>50276995</v>
          </cell>
          <cell r="BH13">
            <v>1740256029</v>
          </cell>
          <cell r="BI13"/>
          <cell r="BJ13"/>
          <cell r="BK13">
            <v>38564146</v>
          </cell>
          <cell r="BL13">
            <v>12281838</v>
          </cell>
          <cell r="BM13">
            <v>505217</v>
          </cell>
          <cell r="BN13">
            <v>63772</v>
          </cell>
          <cell r="BO13">
            <v>29</v>
          </cell>
          <cell r="BP13">
            <v>209</v>
          </cell>
          <cell r="BQ13">
            <v>907000</v>
          </cell>
        </row>
        <row r="14">
          <cell r="A14">
            <v>40452</v>
          </cell>
          <cell r="B14">
            <v>24992698.079999998</v>
          </cell>
          <cell r="C14">
            <v>1854805.71</v>
          </cell>
          <cell r="D14">
            <v>484883.31</v>
          </cell>
          <cell r="E14">
            <v>590391.43000000005</v>
          </cell>
          <cell r="F14">
            <v>0</v>
          </cell>
          <cell r="G14">
            <v>333739.93</v>
          </cell>
          <cell r="H14">
            <v>87246.29</v>
          </cell>
          <cell r="I14">
            <v>0</v>
          </cell>
          <cell r="J14">
            <v>565733.31000000006</v>
          </cell>
          <cell r="K14">
            <v>1602034</v>
          </cell>
          <cell r="L14">
            <v>1555911</v>
          </cell>
          <cell r="M14">
            <v>286187</v>
          </cell>
          <cell r="N14">
            <v>-240064</v>
          </cell>
          <cell r="O14">
            <v>11663943.5</v>
          </cell>
          <cell r="P14">
            <v>10078472.33</v>
          </cell>
          <cell r="Q14">
            <v>169140.52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926622.16</v>
          </cell>
          <cell r="W14">
            <v>0</v>
          </cell>
          <cell r="X14">
            <v>0</v>
          </cell>
          <cell r="Y14">
            <v>926587.44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1081081000</v>
          </cell>
          <cell r="AE14">
            <v>97899000</v>
          </cell>
          <cell r="AF14">
            <v>12369000</v>
          </cell>
          <cell r="AG14">
            <v>13139000</v>
          </cell>
          <cell r="AH14">
            <v>576927000</v>
          </cell>
          <cell r="AI14">
            <v>521498000</v>
          </cell>
          <cell r="AJ14">
            <v>0</v>
          </cell>
          <cell r="AK14">
            <v>0</v>
          </cell>
          <cell r="AL14">
            <v>-13413000</v>
          </cell>
          <cell r="AM14">
            <v>26587008</v>
          </cell>
          <cell r="AN14">
            <v>130818972</v>
          </cell>
          <cell r="AO14">
            <v>157405980</v>
          </cell>
          <cell r="AP14">
            <v>35237000</v>
          </cell>
          <cell r="AQ14">
            <v>0</v>
          </cell>
          <cell r="AR14">
            <v>35236000</v>
          </cell>
          <cell r="AS14">
            <v>0</v>
          </cell>
          <cell r="AT14">
            <v>0</v>
          </cell>
          <cell r="AU14">
            <v>70958362</v>
          </cell>
          <cell r="AV14">
            <v>0</v>
          </cell>
          <cell r="AW14">
            <v>92688808</v>
          </cell>
          <cell r="AX14">
            <v>43270000</v>
          </cell>
          <cell r="AY14">
            <v>0</v>
          </cell>
          <cell r="AZ14">
            <v>0</v>
          </cell>
          <cell r="BA14">
            <v>1374815688</v>
          </cell>
          <cell r="BB14">
            <v>5350</v>
          </cell>
          <cell r="BC14">
            <v>1479820</v>
          </cell>
          <cell r="BD14">
            <v>0</v>
          </cell>
          <cell r="BE14">
            <v>2.7539999999999999E-2</v>
          </cell>
          <cell r="BF14">
            <v>-2.5699999999999998E-3</v>
          </cell>
          <cell r="BG14">
            <v>36976672</v>
          </cell>
          <cell r="BH14">
            <v>1480652698</v>
          </cell>
          <cell r="BI14"/>
          <cell r="BJ14"/>
          <cell r="BK14">
            <v>25332820</v>
          </cell>
          <cell r="BL14">
            <v>11663944</v>
          </cell>
          <cell r="BM14">
            <v>926622</v>
          </cell>
          <cell r="BN14">
            <v>-906530</v>
          </cell>
          <cell r="BO14">
            <v>206</v>
          </cell>
          <cell r="BP14">
            <v>18</v>
          </cell>
          <cell r="BQ14">
            <v>2431000</v>
          </cell>
        </row>
        <row r="15">
          <cell r="A15">
            <v>40483</v>
          </cell>
          <cell r="B15">
            <v>28718801.780000001</v>
          </cell>
          <cell r="C15">
            <v>377473.46</v>
          </cell>
          <cell r="D15">
            <v>93888.97</v>
          </cell>
          <cell r="E15">
            <v>354604.43</v>
          </cell>
          <cell r="F15">
            <v>890.81</v>
          </cell>
          <cell r="G15">
            <v>1654.44</v>
          </cell>
          <cell r="H15">
            <v>411.51</v>
          </cell>
          <cell r="I15">
            <v>0</v>
          </cell>
          <cell r="J15">
            <v>382768.38</v>
          </cell>
          <cell r="K15">
            <v>2061835</v>
          </cell>
          <cell r="L15">
            <v>712010</v>
          </cell>
          <cell r="M15">
            <v>378213</v>
          </cell>
          <cell r="N15">
            <v>0</v>
          </cell>
          <cell r="O15">
            <v>11091548.449999999</v>
          </cell>
          <cell r="P15">
            <v>9372879.3800000008</v>
          </cell>
          <cell r="Q15">
            <v>254252.27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1096666.6000000001</v>
          </cell>
          <cell r="W15">
            <v>0</v>
          </cell>
          <cell r="X15">
            <v>0</v>
          </cell>
          <cell r="Y15">
            <v>1096666.6000000001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1180007000</v>
          </cell>
          <cell r="AE15">
            <v>21760000</v>
          </cell>
          <cell r="AF15">
            <v>2852000</v>
          </cell>
          <cell r="AG15">
            <v>2745000</v>
          </cell>
          <cell r="AH15">
            <v>545720000</v>
          </cell>
          <cell r="AI15">
            <v>499028000</v>
          </cell>
          <cell r="AJ15">
            <v>0</v>
          </cell>
          <cell r="AK15">
            <v>0</v>
          </cell>
          <cell r="AL15">
            <v>-10946000</v>
          </cell>
          <cell r="AM15">
            <v>16563992</v>
          </cell>
          <cell r="AN15">
            <v>115403428</v>
          </cell>
          <cell r="AO15">
            <v>131967420</v>
          </cell>
          <cell r="AP15">
            <v>36980000</v>
          </cell>
          <cell r="AQ15">
            <v>0</v>
          </cell>
          <cell r="AR15">
            <v>36980000</v>
          </cell>
          <cell r="AS15">
            <v>0</v>
          </cell>
          <cell r="AT15">
            <v>0</v>
          </cell>
          <cell r="AU15">
            <v>82618802</v>
          </cell>
          <cell r="AV15">
            <v>0</v>
          </cell>
          <cell r="AW15">
            <v>97828742</v>
          </cell>
          <cell r="AX15">
            <v>43304400</v>
          </cell>
          <cell r="AY15">
            <v>0</v>
          </cell>
          <cell r="AZ15">
            <v>0</v>
          </cell>
          <cell r="BA15">
            <v>1284320615</v>
          </cell>
          <cell r="BB15">
            <v>8647</v>
          </cell>
          <cell r="BC15">
            <v>1343366</v>
          </cell>
          <cell r="BD15">
            <v>0</v>
          </cell>
          <cell r="BE15">
            <v>2.7539999999999999E-2</v>
          </cell>
          <cell r="BF15">
            <v>-2.15E-3</v>
          </cell>
          <cell r="BG15">
            <v>39711642</v>
          </cell>
          <cell r="BH15">
            <v>1569218896</v>
          </cell>
          <cell r="BI15"/>
          <cell r="BJ15"/>
          <cell r="BK15">
            <v>29358571</v>
          </cell>
          <cell r="BL15">
            <v>11091548</v>
          </cell>
          <cell r="BM15">
            <v>1096667</v>
          </cell>
          <cell r="BN15">
            <v>-358190</v>
          </cell>
          <cell r="BO15">
            <v>536</v>
          </cell>
          <cell r="BP15">
            <v>0</v>
          </cell>
          <cell r="BQ15">
            <v>1900000</v>
          </cell>
        </row>
        <row r="16">
          <cell r="A16">
            <v>40513</v>
          </cell>
          <cell r="B16">
            <v>43263079.100000001</v>
          </cell>
          <cell r="C16">
            <v>3358977.86</v>
          </cell>
          <cell r="D16">
            <v>842330.88</v>
          </cell>
          <cell r="E16">
            <v>656278.64</v>
          </cell>
          <cell r="F16">
            <v>0</v>
          </cell>
          <cell r="G16">
            <v>260098.88</v>
          </cell>
          <cell r="H16">
            <v>65225</v>
          </cell>
          <cell r="I16">
            <v>0</v>
          </cell>
          <cell r="J16">
            <v>5298978.07</v>
          </cell>
          <cell r="K16">
            <v>1516434</v>
          </cell>
          <cell r="L16">
            <v>1350448</v>
          </cell>
          <cell r="M16">
            <v>585386</v>
          </cell>
          <cell r="N16">
            <v>-419400</v>
          </cell>
          <cell r="O16">
            <v>15183010.949999999</v>
          </cell>
          <cell r="P16">
            <v>10908776.859999999</v>
          </cell>
          <cell r="Q16">
            <v>211307.29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958111.64</v>
          </cell>
          <cell r="W16">
            <v>0</v>
          </cell>
          <cell r="X16">
            <v>0</v>
          </cell>
          <cell r="Y16">
            <v>958111.64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1779423000</v>
          </cell>
          <cell r="AE16">
            <v>160556000</v>
          </cell>
          <cell r="AF16">
            <v>19453000</v>
          </cell>
          <cell r="AG16">
            <v>20678000</v>
          </cell>
          <cell r="AH16">
            <v>601048000</v>
          </cell>
          <cell r="AI16">
            <v>489542000</v>
          </cell>
          <cell r="AJ16">
            <v>0</v>
          </cell>
          <cell r="AK16">
            <v>0</v>
          </cell>
          <cell r="AL16">
            <v>4850250</v>
          </cell>
          <cell r="AM16">
            <v>47724250</v>
          </cell>
          <cell r="AN16">
            <v>-82010158</v>
          </cell>
          <cell r="AO16">
            <v>-34285908</v>
          </cell>
          <cell r="AP16">
            <v>30373000</v>
          </cell>
          <cell r="AQ16">
            <v>0</v>
          </cell>
          <cell r="AR16">
            <v>30373000</v>
          </cell>
          <cell r="AS16">
            <v>0</v>
          </cell>
          <cell r="AT16">
            <v>0</v>
          </cell>
          <cell r="AU16">
            <v>134836047</v>
          </cell>
          <cell r="AV16">
            <v>0</v>
          </cell>
          <cell r="AW16">
            <v>132829675</v>
          </cell>
          <cell r="AX16">
            <v>52352800</v>
          </cell>
          <cell r="AY16">
            <v>0</v>
          </cell>
          <cell r="AZ16">
            <v>0</v>
          </cell>
          <cell r="BA16">
            <v>1667742464</v>
          </cell>
          <cell r="BB16">
            <v>15049</v>
          </cell>
          <cell r="BC16">
            <v>2280249</v>
          </cell>
          <cell r="BD16">
            <v>0</v>
          </cell>
          <cell r="BE16">
            <v>2.7539999999999999E-2</v>
          </cell>
          <cell r="BF16">
            <v>1.48E-3</v>
          </cell>
          <cell r="BG16">
            <v>63302832</v>
          </cell>
          <cell r="BH16">
            <v>2181399705</v>
          </cell>
          <cell r="BI16"/>
          <cell r="BJ16"/>
          <cell r="BK16">
            <v>47885300</v>
          </cell>
          <cell r="BL16">
            <v>15183011</v>
          </cell>
          <cell r="BM16">
            <v>958112</v>
          </cell>
          <cell r="BN16">
            <v>-1192633</v>
          </cell>
          <cell r="BO16">
            <v>1157</v>
          </cell>
          <cell r="BP16">
            <v>0</v>
          </cell>
          <cell r="BQ16">
            <v>420000</v>
          </cell>
        </row>
        <row r="17">
          <cell r="A17">
            <v>40544</v>
          </cell>
          <cell r="B17">
            <v>47479629.020000003</v>
          </cell>
          <cell r="C17">
            <v>7230011.7400000002</v>
          </cell>
          <cell r="D17">
            <v>1818171.54</v>
          </cell>
          <cell r="E17">
            <v>424765.9</v>
          </cell>
          <cell r="F17">
            <v>0</v>
          </cell>
          <cell r="G17">
            <v>86891.58</v>
          </cell>
          <cell r="H17">
            <v>21851.119999999999</v>
          </cell>
          <cell r="I17">
            <v>0</v>
          </cell>
          <cell r="J17">
            <v>2102716.2599999998</v>
          </cell>
          <cell r="K17">
            <v>1525390</v>
          </cell>
          <cell r="L17">
            <v>1238361</v>
          </cell>
          <cell r="M17">
            <v>489871</v>
          </cell>
          <cell r="N17">
            <v>-202842</v>
          </cell>
          <cell r="O17">
            <v>13247347.939999999</v>
          </cell>
          <cell r="P17">
            <v>10622537.51</v>
          </cell>
          <cell r="Q17">
            <v>604867.68999999994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3174733.6</v>
          </cell>
          <cell r="W17">
            <v>0</v>
          </cell>
          <cell r="X17">
            <v>0</v>
          </cell>
          <cell r="Y17">
            <v>3163571.59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1904350000</v>
          </cell>
          <cell r="AE17">
            <v>370773000</v>
          </cell>
          <cell r="AF17">
            <v>47860000</v>
          </cell>
          <cell r="AG17">
            <v>44987000</v>
          </cell>
          <cell r="AH17">
            <v>584279000</v>
          </cell>
          <cell r="AI17">
            <v>509422000</v>
          </cell>
          <cell r="AJ17">
            <v>0</v>
          </cell>
          <cell r="AK17">
            <v>0</v>
          </cell>
          <cell r="AL17">
            <v>2202065</v>
          </cell>
          <cell r="AM17">
            <v>160578065</v>
          </cell>
          <cell r="AN17">
            <v>-64573436</v>
          </cell>
          <cell r="AO17">
            <v>96004629</v>
          </cell>
          <cell r="AP17">
            <v>103401000</v>
          </cell>
          <cell r="AQ17">
            <v>0</v>
          </cell>
          <cell r="AR17">
            <v>103075000</v>
          </cell>
          <cell r="AS17">
            <v>0</v>
          </cell>
          <cell r="AT17">
            <v>0</v>
          </cell>
          <cell r="AU17">
            <v>130046085</v>
          </cell>
          <cell r="AV17">
            <v>0</v>
          </cell>
          <cell r="AW17">
            <v>131370740</v>
          </cell>
          <cell r="AX17">
            <v>53027600</v>
          </cell>
          <cell r="AY17">
            <v>0</v>
          </cell>
          <cell r="AZ17">
            <v>0</v>
          </cell>
          <cell r="BA17">
            <v>1969772373</v>
          </cell>
          <cell r="BB17">
            <v>9595</v>
          </cell>
          <cell r="BC17">
            <v>3109257</v>
          </cell>
          <cell r="BD17">
            <v>0</v>
          </cell>
          <cell r="BE17">
            <v>2.7539999999999999E-2</v>
          </cell>
          <cell r="BF17">
            <v>-2.0000000000000002E-5</v>
          </cell>
          <cell r="BG17">
            <v>59602463</v>
          </cell>
          <cell r="BH17">
            <v>2165851031</v>
          </cell>
          <cell r="BI17"/>
          <cell r="BJ17"/>
          <cell r="BK17">
            <v>47953677</v>
          </cell>
          <cell r="BL17">
            <v>13247349</v>
          </cell>
          <cell r="BM17">
            <v>3174846</v>
          </cell>
          <cell r="BN17">
            <v>-1576283</v>
          </cell>
          <cell r="BO17">
            <v>1127</v>
          </cell>
          <cell r="BP17">
            <v>0</v>
          </cell>
          <cell r="BQ17">
            <v>40000</v>
          </cell>
        </row>
        <row r="18">
          <cell r="A18">
            <v>40575</v>
          </cell>
          <cell r="B18">
            <v>41139511.719999999</v>
          </cell>
          <cell r="C18">
            <v>7002440.9500000002</v>
          </cell>
          <cell r="D18">
            <v>1760063.53</v>
          </cell>
          <cell r="E18">
            <v>851779.19</v>
          </cell>
          <cell r="F18">
            <v>0</v>
          </cell>
          <cell r="G18">
            <v>504445.22</v>
          </cell>
          <cell r="H18">
            <v>126792.31</v>
          </cell>
          <cell r="I18">
            <v>0</v>
          </cell>
          <cell r="J18">
            <v>1871839.15</v>
          </cell>
          <cell r="K18">
            <v>831224</v>
          </cell>
          <cell r="L18">
            <v>845562</v>
          </cell>
          <cell r="M18">
            <v>63238</v>
          </cell>
          <cell r="N18">
            <v>-77576</v>
          </cell>
          <cell r="O18">
            <v>8558521.9399999995</v>
          </cell>
          <cell r="P18">
            <v>7160500.75</v>
          </cell>
          <cell r="Q18">
            <v>486405.57</v>
          </cell>
          <cell r="R18">
            <v>732.08</v>
          </cell>
          <cell r="S18">
            <v>0</v>
          </cell>
          <cell r="T18">
            <v>0</v>
          </cell>
          <cell r="U18">
            <v>0</v>
          </cell>
          <cell r="V18">
            <v>3614565.85</v>
          </cell>
          <cell r="W18">
            <v>16340.07</v>
          </cell>
          <cell r="X18">
            <v>15.09</v>
          </cell>
          <cell r="Y18">
            <v>3315257.9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1686208000</v>
          </cell>
          <cell r="AE18">
            <v>351293000</v>
          </cell>
          <cell r="AF18">
            <v>42651000</v>
          </cell>
          <cell r="AG18">
            <v>45358000</v>
          </cell>
          <cell r="AH18">
            <v>369770000</v>
          </cell>
          <cell r="AI18">
            <v>335000000</v>
          </cell>
          <cell r="AJ18">
            <v>29000</v>
          </cell>
          <cell r="AK18">
            <v>0</v>
          </cell>
          <cell r="AL18">
            <v>3151981</v>
          </cell>
          <cell r="AM18">
            <v>178902981</v>
          </cell>
          <cell r="AN18">
            <v>-104631232</v>
          </cell>
          <cell r="AO18">
            <v>74271749</v>
          </cell>
          <cell r="AP18">
            <v>127566000</v>
          </cell>
          <cell r="AQ18">
            <v>586000</v>
          </cell>
          <cell r="AR18">
            <v>116977000</v>
          </cell>
          <cell r="AS18">
            <v>0</v>
          </cell>
          <cell r="AT18">
            <v>0</v>
          </cell>
          <cell r="AU18">
            <v>94971636</v>
          </cell>
          <cell r="AV18">
            <v>0</v>
          </cell>
          <cell r="AW18">
            <v>106136753</v>
          </cell>
          <cell r="AX18">
            <v>45020400</v>
          </cell>
          <cell r="AY18">
            <v>0</v>
          </cell>
          <cell r="AZ18">
            <v>0</v>
          </cell>
          <cell r="BA18">
            <v>1641581988</v>
          </cell>
          <cell r="BB18">
            <v>11830</v>
          </cell>
          <cell r="BC18">
            <v>2537438</v>
          </cell>
          <cell r="BD18">
            <v>0</v>
          </cell>
          <cell r="BE18">
            <v>2.7539999999999999E-2</v>
          </cell>
          <cell r="BF18">
            <v>-2.9999999999999997E-4</v>
          </cell>
          <cell r="BG18">
            <v>47203035</v>
          </cell>
          <cell r="BH18">
            <v>1733410436</v>
          </cell>
          <cell r="BI18"/>
          <cell r="BJ18"/>
          <cell r="BK18">
            <v>41886086</v>
          </cell>
          <cell r="BL18">
            <v>8558523</v>
          </cell>
          <cell r="BM18">
            <v>3617396</v>
          </cell>
          <cell r="BN18">
            <v>-375822</v>
          </cell>
          <cell r="BO18">
            <v>737</v>
          </cell>
          <cell r="BP18">
            <v>0</v>
          </cell>
          <cell r="BQ18">
            <v>0</v>
          </cell>
        </row>
        <row r="19">
          <cell r="A19">
            <v>40603</v>
          </cell>
          <cell r="B19">
            <v>37718575.490000002</v>
          </cell>
          <cell r="C19">
            <v>4612227.28</v>
          </cell>
          <cell r="D19">
            <v>1195074.21</v>
          </cell>
          <cell r="E19">
            <v>1397290.92</v>
          </cell>
          <cell r="F19">
            <v>1157767.82</v>
          </cell>
          <cell r="G19">
            <v>1099811.52</v>
          </cell>
          <cell r="H19">
            <v>284972.17</v>
          </cell>
          <cell r="I19">
            <v>0</v>
          </cell>
          <cell r="J19">
            <v>674984.87</v>
          </cell>
          <cell r="K19">
            <v>1747401</v>
          </cell>
          <cell r="L19">
            <v>1417485</v>
          </cell>
          <cell r="M19">
            <v>646412</v>
          </cell>
          <cell r="N19">
            <v>-316496</v>
          </cell>
          <cell r="O19">
            <v>10149111.07</v>
          </cell>
          <cell r="P19">
            <v>7963526.9100000001</v>
          </cell>
          <cell r="Q19">
            <v>383603.29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2860093.7</v>
          </cell>
          <cell r="W19">
            <v>0</v>
          </cell>
          <cell r="X19">
            <v>0</v>
          </cell>
          <cell r="Y19">
            <v>2802312.19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1533712000</v>
          </cell>
          <cell r="AE19">
            <v>217981000</v>
          </cell>
          <cell r="AF19">
            <v>27279000</v>
          </cell>
          <cell r="AG19">
            <v>29015000</v>
          </cell>
          <cell r="AH19">
            <v>429073000</v>
          </cell>
          <cell r="AI19">
            <v>375647000</v>
          </cell>
          <cell r="AJ19">
            <v>0</v>
          </cell>
          <cell r="AK19">
            <v>0</v>
          </cell>
          <cell r="AL19">
            <v>2968286</v>
          </cell>
          <cell r="AM19">
            <v>127767286</v>
          </cell>
          <cell r="AN19">
            <v>-46383052</v>
          </cell>
          <cell r="AO19">
            <v>81384234</v>
          </cell>
          <cell r="AP19">
            <v>102939000</v>
          </cell>
          <cell r="AQ19">
            <v>0</v>
          </cell>
          <cell r="AR19">
            <v>100968000</v>
          </cell>
          <cell r="AS19">
            <v>0</v>
          </cell>
          <cell r="AT19">
            <v>0</v>
          </cell>
          <cell r="AU19">
            <v>94066096</v>
          </cell>
          <cell r="AV19">
            <v>0</v>
          </cell>
          <cell r="AW19">
            <v>104202848</v>
          </cell>
          <cell r="AX19">
            <v>46387200</v>
          </cell>
          <cell r="AY19">
            <v>0</v>
          </cell>
          <cell r="AZ19">
            <v>0</v>
          </cell>
          <cell r="BA19">
            <v>1521658104</v>
          </cell>
          <cell r="BB19">
            <v>4914</v>
          </cell>
          <cell r="BC19">
            <v>1492785</v>
          </cell>
          <cell r="BD19">
            <v>0</v>
          </cell>
          <cell r="BE19">
            <v>2.7539999999999999E-2</v>
          </cell>
          <cell r="BF19">
            <v>-5.9000000000000003E-4</v>
          </cell>
          <cell r="BG19">
            <v>46009512</v>
          </cell>
          <cell r="BH19">
            <v>1707207991</v>
          </cell>
          <cell r="BI19"/>
          <cell r="BJ19"/>
          <cell r="BK19">
            <v>39142252</v>
          </cell>
          <cell r="BL19">
            <v>10149111</v>
          </cell>
          <cell r="BM19">
            <v>2860672</v>
          </cell>
          <cell r="BN19">
            <v>421179</v>
          </cell>
          <cell r="BO19">
            <v>569</v>
          </cell>
          <cell r="BP19">
            <v>4</v>
          </cell>
          <cell r="BQ19">
            <v>0</v>
          </cell>
        </row>
        <row r="20">
          <cell r="A20">
            <v>40634</v>
          </cell>
          <cell r="B20">
            <v>28334225.539999999</v>
          </cell>
          <cell r="C20">
            <v>296009.99</v>
          </cell>
          <cell r="D20">
            <v>82900.56</v>
          </cell>
          <cell r="E20">
            <v>357080.93</v>
          </cell>
          <cell r="F20">
            <v>504.51</v>
          </cell>
          <cell r="G20">
            <v>26919.64</v>
          </cell>
          <cell r="H20">
            <v>7539.12</v>
          </cell>
          <cell r="I20">
            <v>0</v>
          </cell>
          <cell r="J20">
            <v>2920782.61</v>
          </cell>
          <cell r="K20">
            <v>519851</v>
          </cell>
          <cell r="L20">
            <v>368867</v>
          </cell>
          <cell r="M20">
            <v>196422</v>
          </cell>
          <cell r="N20">
            <v>-45438</v>
          </cell>
          <cell r="O20">
            <v>10940785.529999999</v>
          </cell>
          <cell r="P20">
            <v>7986928.5499999998</v>
          </cell>
          <cell r="Q20">
            <v>131464.45000000001</v>
          </cell>
          <cell r="R20">
            <v>40.86</v>
          </cell>
          <cell r="S20">
            <v>0</v>
          </cell>
          <cell r="T20">
            <v>0</v>
          </cell>
          <cell r="U20">
            <v>0</v>
          </cell>
          <cell r="V20">
            <v>911383.64</v>
          </cell>
          <cell r="W20">
            <v>323.13</v>
          </cell>
          <cell r="X20">
            <v>0.43</v>
          </cell>
          <cell r="Y20">
            <v>910534.89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1149598000</v>
          </cell>
          <cell r="AE20">
            <v>13603000</v>
          </cell>
          <cell r="AF20">
            <v>1840000</v>
          </cell>
          <cell r="AG20">
            <v>1958000</v>
          </cell>
          <cell r="AH20">
            <v>447174000</v>
          </cell>
          <cell r="AI20">
            <v>367550000</v>
          </cell>
          <cell r="AJ20">
            <v>1000</v>
          </cell>
          <cell r="AK20">
            <v>0</v>
          </cell>
          <cell r="AL20">
            <v>13599451</v>
          </cell>
          <cell r="AM20">
            <v>43020451</v>
          </cell>
          <cell r="AN20">
            <v>41057960</v>
          </cell>
          <cell r="AO20">
            <v>84078411</v>
          </cell>
          <cell r="AP20">
            <v>32756000</v>
          </cell>
          <cell r="AQ20">
            <v>8000</v>
          </cell>
          <cell r="AR20">
            <v>32734000</v>
          </cell>
          <cell r="AS20">
            <v>0</v>
          </cell>
          <cell r="AT20">
            <v>0</v>
          </cell>
          <cell r="AU20">
            <v>69099808</v>
          </cell>
          <cell r="AV20">
            <v>0</v>
          </cell>
          <cell r="AW20">
            <v>90632422</v>
          </cell>
          <cell r="AX20">
            <v>41748800</v>
          </cell>
          <cell r="AY20">
            <v>0</v>
          </cell>
          <cell r="AZ20">
            <v>0</v>
          </cell>
          <cell r="BA20">
            <v>1379963352</v>
          </cell>
          <cell r="BB20">
            <v>4873</v>
          </cell>
          <cell r="BC20">
            <v>1920959</v>
          </cell>
          <cell r="BD20">
            <v>0</v>
          </cell>
          <cell r="BE20">
            <v>2.7539999999999999E-2</v>
          </cell>
          <cell r="BF20">
            <v>2.9E-4</v>
          </cell>
          <cell r="BG20">
            <v>41469089</v>
          </cell>
          <cell r="BH20">
            <v>1490352072</v>
          </cell>
          <cell r="BI20"/>
          <cell r="BJ20"/>
          <cell r="BK20">
            <v>31476091</v>
          </cell>
          <cell r="BL20">
            <v>10940786</v>
          </cell>
          <cell r="BM20">
            <v>911389</v>
          </cell>
          <cell r="BN20">
            <v>36399</v>
          </cell>
          <cell r="BO20">
            <v>218</v>
          </cell>
          <cell r="BP20">
            <v>22</v>
          </cell>
          <cell r="BQ20">
            <v>0</v>
          </cell>
        </row>
        <row r="21">
          <cell r="A21">
            <v>40664</v>
          </cell>
          <cell r="B21">
            <v>40211541.349999994</v>
          </cell>
          <cell r="C21">
            <v>7385015.96</v>
          </cell>
          <cell r="D21">
            <v>1881037.42</v>
          </cell>
          <cell r="E21">
            <v>1259290.6800000002</v>
          </cell>
          <cell r="F21">
            <v>0</v>
          </cell>
          <cell r="G21">
            <v>592476.46</v>
          </cell>
          <cell r="H21">
            <v>150909.68</v>
          </cell>
          <cell r="I21">
            <v>3556.39</v>
          </cell>
          <cell r="J21">
            <v>3021111.59</v>
          </cell>
          <cell r="K21">
            <v>1682233</v>
          </cell>
          <cell r="L21">
            <v>1620023</v>
          </cell>
          <cell r="M21">
            <v>448257</v>
          </cell>
          <cell r="N21">
            <v>-386047</v>
          </cell>
          <cell r="O21">
            <v>6670907.6399999997</v>
          </cell>
          <cell r="P21">
            <v>4612960.67</v>
          </cell>
          <cell r="Q21">
            <v>340082.85</v>
          </cell>
          <cell r="R21">
            <v>27813.82</v>
          </cell>
          <cell r="S21">
            <v>0</v>
          </cell>
          <cell r="T21">
            <v>0</v>
          </cell>
          <cell r="U21">
            <v>0</v>
          </cell>
          <cell r="V21">
            <v>3105652.46</v>
          </cell>
          <cell r="W21">
            <v>230066.81</v>
          </cell>
          <cell r="X21">
            <v>498.66</v>
          </cell>
          <cell r="Y21">
            <v>2448554.4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1590373000</v>
          </cell>
          <cell r="AE21">
            <v>346043000</v>
          </cell>
          <cell r="AF21">
            <v>42573000</v>
          </cell>
          <cell r="AG21">
            <v>45278000</v>
          </cell>
          <cell r="AH21">
            <v>258160000</v>
          </cell>
          <cell r="AI21">
            <v>211197000</v>
          </cell>
          <cell r="AJ21">
            <v>882000</v>
          </cell>
          <cell r="AK21">
            <v>0</v>
          </cell>
          <cell r="AL21">
            <v>8780924</v>
          </cell>
          <cell r="AM21">
            <v>169268924</v>
          </cell>
          <cell r="AN21">
            <v>-113969010</v>
          </cell>
          <cell r="AO21">
            <v>55299914</v>
          </cell>
          <cell r="AP21">
            <v>107610000</v>
          </cell>
          <cell r="AQ21">
            <v>8230000</v>
          </cell>
          <cell r="AR21">
            <v>86379000</v>
          </cell>
          <cell r="AS21">
            <v>0</v>
          </cell>
          <cell r="AT21">
            <v>0</v>
          </cell>
          <cell r="AU21">
            <v>69498031</v>
          </cell>
          <cell r="AV21">
            <v>0</v>
          </cell>
          <cell r="AW21">
            <v>101390129</v>
          </cell>
          <cell r="AX21">
            <v>46859600</v>
          </cell>
          <cell r="AY21">
            <v>0</v>
          </cell>
          <cell r="AZ21">
            <v>0</v>
          </cell>
          <cell r="BA21">
            <v>1296344179</v>
          </cell>
          <cell r="BB21">
            <v>4208</v>
          </cell>
          <cell r="BC21">
            <v>1529370</v>
          </cell>
          <cell r="BD21">
            <v>0</v>
          </cell>
          <cell r="BE21">
            <v>2.7539999999999999E-2</v>
          </cell>
          <cell r="BF21">
            <v>1.3799999999999999E-3</v>
          </cell>
          <cell r="BG21">
            <v>45512020</v>
          </cell>
          <cell r="BH21">
            <v>1573514629</v>
          </cell>
          <cell r="BI21"/>
          <cell r="BJ21"/>
          <cell r="BK21">
            <v>42063944</v>
          </cell>
          <cell r="BL21">
            <v>6670908</v>
          </cell>
          <cell r="BM21">
            <v>3109917</v>
          </cell>
          <cell r="BN21">
            <v>112915</v>
          </cell>
          <cell r="BO21">
            <v>142</v>
          </cell>
          <cell r="BP21">
            <v>126</v>
          </cell>
          <cell r="BQ21">
            <v>0</v>
          </cell>
        </row>
        <row r="22">
          <cell r="A22">
            <v>40695</v>
          </cell>
          <cell r="B22">
            <v>48206461.579999998</v>
          </cell>
          <cell r="C22">
            <v>8476990.8200000003</v>
          </cell>
          <cell r="D22">
            <v>2147730.39</v>
          </cell>
          <cell r="E22">
            <v>511180.26</v>
          </cell>
          <cell r="F22">
            <v>-2089.9699999999998</v>
          </cell>
          <cell r="G22">
            <v>152412.07</v>
          </cell>
          <cell r="H22">
            <v>38615.120000000003</v>
          </cell>
          <cell r="I22">
            <v>0</v>
          </cell>
          <cell r="J22">
            <v>4009164.36</v>
          </cell>
          <cell r="K22">
            <v>670349</v>
          </cell>
          <cell r="L22">
            <v>556017</v>
          </cell>
          <cell r="M22">
            <v>352704</v>
          </cell>
          <cell r="N22">
            <v>-238372</v>
          </cell>
          <cell r="O22">
            <v>4392974.76</v>
          </cell>
          <cell r="P22">
            <v>2783475.54</v>
          </cell>
          <cell r="Q22">
            <v>226266.66</v>
          </cell>
          <cell r="R22">
            <v>45629.96</v>
          </cell>
          <cell r="S22">
            <v>0</v>
          </cell>
          <cell r="T22">
            <v>0</v>
          </cell>
          <cell r="U22">
            <v>0</v>
          </cell>
          <cell r="V22">
            <v>3668986.34</v>
          </cell>
          <cell r="W22">
            <v>846613.47</v>
          </cell>
          <cell r="X22">
            <v>4202.57</v>
          </cell>
          <cell r="Y22">
            <v>2027919.25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1921376000</v>
          </cell>
          <cell r="AE22">
            <v>403053000</v>
          </cell>
          <cell r="AF22">
            <v>49344000</v>
          </cell>
          <cell r="AG22">
            <v>52439000</v>
          </cell>
          <cell r="AH22">
            <v>169823000</v>
          </cell>
          <cell r="AI22">
            <v>128241000</v>
          </cell>
          <cell r="AJ22">
            <v>1000000</v>
          </cell>
          <cell r="AK22">
            <v>0</v>
          </cell>
          <cell r="AL22">
            <v>12666800</v>
          </cell>
          <cell r="AM22">
            <v>197219800</v>
          </cell>
          <cell r="AN22">
            <v>-94318879</v>
          </cell>
          <cell r="AO22">
            <v>102900921</v>
          </cell>
          <cell r="AP22">
            <v>120266000</v>
          </cell>
          <cell r="AQ22">
            <v>21663000</v>
          </cell>
          <cell r="AR22">
            <v>75035000</v>
          </cell>
          <cell r="AS22">
            <v>0</v>
          </cell>
          <cell r="AT22">
            <v>0</v>
          </cell>
          <cell r="AU22">
            <v>69946216</v>
          </cell>
          <cell r="AV22">
            <v>0</v>
          </cell>
          <cell r="AW22">
            <v>115969398</v>
          </cell>
          <cell r="AX22">
            <v>55590400</v>
          </cell>
          <cell r="AY22">
            <v>0</v>
          </cell>
          <cell r="AZ22">
            <v>0</v>
          </cell>
          <cell r="BA22">
            <v>1526528523</v>
          </cell>
          <cell r="BB22">
            <v>4831</v>
          </cell>
          <cell r="BC22">
            <v>1527580</v>
          </cell>
          <cell r="BD22">
            <v>888076</v>
          </cell>
          <cell r="BE22">
            <v>2.7539999999999999E-2</v>
          </cell>
          <cell r="BF22">
            <v>1.08E-3</v>
          </cell>
          <cell r="BG22">
            <v>50920942</v>
          </cell>
          <cell r="BH22">
            <v>1779169014</v>
          </cell>
          <cell r="BI22"/>
          <cell r="BJ22"/>
          <cell r="BK22">
            <v>50285328</v>
          </cell>
          <cell r="BL22">
            <v>4392975</v>
          </cell>
          <cell r="BM22">
            <v>3676889</v>
          </cell>
          <cell r="BN22">
            <v>80472</v>
          </cell>
          <cell r="BO22">
            <v>0</v>
          </cell>
          <cell r="BP22">
            <v>259</v>
          </cell>
          <cell r="BQ22">
            <v>0</v>
          </cell>
        </row>
        <row r="23">
          <cell r="A23">
            <v>40725</v>
          </cell>
          <cell r="B23">
            <v>52585357.869999997</v>
          </cell>
          <cell r="C23">
            <v>8677642.8599999994</v>
          </cell>
          <cell r="D23">
            <v>2200650.23</v>
          </cell>
          <cell r="E23">
            <v>543635.27</v>
          </cell>
          <cell r="F23">
            <v>508.65</v>
          </cell>
          <cell r="G23">
            <v>236197.29</v>
          </cell>
          <cell r="H23">
            <v>59899.63</v>
          </cell>
          <cell r="I23">
            <v>0</v>
          </cell>
          <cell r="J23">
            <v>6544354.79</v>
          </cell>
          <cell r="K23">
            <v>932682</v>
          </cell>
          <cell r="L23">
            <v>648159</v>
          </cell>
          <cell r="M23">
            <v>471521</v>
          </cell>
          <cell r="N23">
            <v>-186998</v>
          </cell>
          <cell r="O23">
            <v>6672928.0300000003</v>
          </cell>
          <cell r="P23">
            <v>3775334.39</v>
          </cell>
          <cell r="Q23">
            <v>281308.2</v>
          </cell>
          <cell r="R23">
            <v>33493.449999999997</v>
          </cell>
          <cell r="S23">
            <v>0</v>
          </cell>
          <cell r="T23">
            <v>13399.41</v>
          </cell>
          <cell r="U23">
            <v>138759.18</v>
          </cell>
          <cell r="V23">
            <v>2951908.74</v>
          </cell>
          <cell r="W23">
            <v>323957.52</v>
          </cell>
          <cell r="X23">
            <v>2119</v>
          </cell>
          <cell r="Y23">
            <v>2183841.7000000002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2102035000</v>
          </cell>
          <cell r="AE23">
            <v>401777000</v>
          </cell>
          <cell r="AF23">
            <v>49276000</v>
          </cell>
          <cell r="AG23">
            <v>52279000</v>
          </cell>
          <cell r="AH23">
            <v>223530000</v>
          </cell>
          <cell r="AI23">
            <v>165231000</v>
          </cell>
          <cell r="AJ23">
            <v>714000</v>
          </cell>
          <cell r="AK23">
            <v>0</v>
          </cell>
          <cell r="AL23">
            <v>13749212</v>
          </cell>
          <cell r="AO23">
            <v>70658952</v>
          </cell>
          <cell r="AP23">
            <v>97265000</v>
          </cell>
          <cell r="AQ23">
            <v>8108000</v>
          </cell>
          <cell r="AR23">
            <v>76982000</v>
          </cell>
          <cell r="AS23">
            <v>0</v>
          </cell>
          <cell r="AT23">
            <v>0</v>
          </cell>
          <cell r="AU23">
            <v>76979593</v>
          </cell>
          <cell r="AV23">
            <v>0</v>
          </cell>
          <cell r="AW23">
            <v>135011201</v>
          </cell>
          <cell r="AX23">
            <v>65086000</v>
          </cell>
          <cell r="AY23">
            <v>0</v>
          </cell>
          <cell r="AZ23">
            <v>0</v>
          </cell>
          <cell r="BA23">
            <v>1599481519</v>
          </cell>
          <cell r="BB23">
            <v>6595</v>
          </cell>
          <cell r="BC23">
            <v>1474755</v>
          </cell>
          <cell r="BD23">
            <v>2465824</v>
          </cell>
          <cell r="BE23">
            <v>2.6679999999999999E-2</v>
          </cell>
          <cell r="BF23">
            <v>3.1199999999999999E-3</v>
          </cell>
          <cell r="BG23">
            <v>60387246</v>
          </cell>
          <cell r="BH23">
            <v>2026370618</v>
          </cell>
          <cell r="BI23"/>
          <cell r="BJ23"/>
          <cell r="BK23">
            <v>57211244</v>
          </cell>
          <cell r="BL23">
            <v>6520769</v>
          </cell>
          <cell r="BM23">
            <v>2956330</v>
          </cell>
          <cell r="BN23">
            <v>388437</v>
          </cell>
          <cell r="BO23">
            <v>0</v>
          </cell>
          <cell r="BP23">
            <v>454</v>
          </cell>
          <cell r="BQ23">
            <v>0</v>
          </cell>
        </row>
        <row r="24">
          <cell r="A24">
            <v>40756</v>
          </cell>
          <cell r="B24">
            <v>48881166.990000002</v>
          </cell>
          <cell r="C24">
            <v>6613318.3600000003</v>
          </cell>
          <cell r="D24">
            <v>1686065.52</v>
          </cell>
          <cell r="E24">
            <v>804223.32</v>
          </cell>
          <cell r="F24">
            <v>791.83</v>
          </cell>
          <cell r="G24">
            <v>539756.51</v>
          </cell>
          <cell r="H24">
            <v>137610.92000000001</v>
          </cell>
          <cell r="I24">
            <v>0</v>
          </cell>
          <cell r="J24">
            <v>4840688.32</v>
          </cell>
          <cell r="K24">
            <v>1997774</v>
          </cell>
          <cell r="L24">
            <v>2157168</v>
          </cell>
          <cell r="M24">
            <v>74581</v>
          </cell>
          <cell r="N24">
            <v>-233975</v>
          </cell>
          <cell r="O24">
            <v>7133428.9800000004</v>
          </cell>
          <cell r="P24">
            <v>4858128.97</v>
          </cell>
          <cell r="Q24">
            <v>181388.87</v>
          </cell>
          <cell r="R24">
            <v>7254.9</v>
          </cell>
          <cell r="S24">
            <v>0</v>
          </cell>
          <cell r="T24">
            <v>2039.18</v>
          </cell>
          <cell r="U24">
            <v>70069.03</v>
          </cell>
          <cell r="V24">
            <v>1628578.39</v>
          </cell>
          <cell r="W24">
            <v>165932.42000000001</v>
          </cell>
          <cell r="X24">
            <v>295.86</v>
          </cell>
          <cell r="Y24">
            <v>1298071.33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1920646000</v>
          </cell>
          <cell r="AE24">
            <v>308700000</v>
          </cell>
          <cell r="AF24">
            <v>38039000</v>
          </cell>
          <cell r="AG24">
            <v>40404000</v>
          </cell>
          <cell r="AH24">
            <v>271956000</v>
          </cell>
          <cell r="AI24">
            <v>214643000</v>
          </cell>
          <cell r="AJ24">
            <v>177000</v>
          </cell>
          <cell r="AK24">
            <v>0</v>
          </cell>
          <cell r="AL24">
            <v>13168313</v>
          </cell>
          <cell r="AO24">
            <v>54047924</v>
          </cell>
          <cell r="AP24">
            <v>51618000</v>
          </cell>
          <cell r="AQ24">
            <v>3723000</v>
          </cell>
          <cell r="AR24">
            <v>43067000</v>
          </cell>
          <cell r="AS24">
            <v>0</v>
          </cell>
          <cell r="AT24">
            <v>0</v>
          </cell>
          <cell r="AU24">
            <v>75935742</v>
          </cell>
          <cell r="AV24">
            <v>0</v>
          </cell>
          <cell r="AW24">
            <v>127525865</v>
          </cell>
          <cell r="AX24">
            <v>61537200</v>
          </cell>
          <cell r="AY24">
            <v>0</v>
          </cell>
          <cell r="AZ24">
            <v>0</v>
          </cell>
          <cell r="BA24">
            <v>1758228088</v>
          </cell>
          <cell r="BB24">
            <v>5269</v>
          </cell>
          <cell r="BC24">
            <v>1605089</v>
          </cell>
          <cell r="BD24">
            <v>1353404</v>
          </cell>
          <cell r="BE24">
            <v>2.6679999999999999E-2</v>
          </cell>
          <cell r="BF24">
            <v>2.3600000000000001E-3</v>
          </cell>
          <cell r="BG24">
            <v>57612742</v>
          </cell>
          <cell r="BH24">
            <v>1983922032</v>
          </cell>
          <cell r="BI24"/>
          <cell r="BJ24"/>
          <cell r="BK24">
            <v>52457058</v>
          </cell>
          <cell r="BL24">
            <v>7061321</v>
          </cell>
          <cell r="BM24">
            <v>1630221</v>
          </cell>
          <cell r="BN24">
            <v>275416</v>
          </cell>
          <cell r="BO24">
            <v>0</v>
          </cell>
          <cell r="BP24">
            <v>326</v>
          </cell>
          <cell r="BQ24">
            <v>0</v>
          </cell>
        </row>
        <row r="25">
          <cell r="A25">
            <v>40787</v>
          </cell>
          <cell r="B25">
            <v>34451062.700000003</v>
          </cell>
          <cell r="C25">
            <v>4221297.3899999997</v>
          </cell>
          <cell r="D25">
            <v>1082045.1599999999</v>
          </cell>
          <cell r="E25">
            <v>1074928.0900000001</v>
          </cell>
          <cell r="F25">
            <v>0</v>
          </cell>
          <cell r="G25">
            <v>651157.69999999995</v>
          </cell>
          <cell r="H25">
            <v>166911.25</v>
          </cell>
          <cell r="I25">
            <v>544.38</v>
          </cell>
          <cell r="J25">
            <v>2367224.4900000002</v>
          </cell>
          <cell r="K25">
            <v>933198</v>
          </cell>
          <cell r="L25">
            <v>797234</v>
          </cell>
          <cell r="M25">
            <v>6304</v>
          </cell>
          <cell r="N25">
            <v>0</v>
          </cell>
          <cell r="O25">
            <v>9662611.5999999996</v>
          </cell>
          <cell r="P25">
            <v>8069822.5999999996</v>
          </cell>
          <cell r="Q25">
            <v>209100.36</v>
          </cell>
          <cell r="R25">
            <v>0</v>
          </cell>
          <cell r="S25">
            <v>0</v>
          </cell>
          <cell r="T25">
            <v>11.88</v>
          </cell>
          <cell r="U25">
            <v>38699.67</v>
          </cell>
          <cell r="V25">
            <v>2334759.67</v>
          </cell>
          <cell r="W25">
            <v>0</v>
          </cell>
          <cell r="X25">
            <v>0</v>
          </cell>
          <cell r="Y25">
            <v>2323327.25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1366670000</v>
          </cell>
          <cell r="AE25">
            <v>196941000</v>
          </cell>
          <cell r="AF25">
            <v>24387000</v>
          </cell>
          <cell r="AG25">
            <v>25930000</v>
          </cell>
          <cell r="AH25">
            <v>401091000</v>
          </cell>
          <cell r="AI25">
            <v>367228000</v>
          </cell>
          <cell r="AJ25">
            <v>0</v>
          </cell>
          <cell r="AK25">
            <v>0</v>
          </cell>
          <cell r="AL25">
            <v>11664812</v>
          </cell>
          <cell r="AO25">
            <v>84093475</v>
          </cell>
          <cell r="AP25">
            <v>90476000</v>
          </cell>
          <cell r="AQ25">
            <v>0</v>
          </cell>
          <cell r="AR25">
            <v>90092000</v>
          </cell>
          <cell r="AS25">
            <v>0</v>
          </cell>
          <cell r="AT25">
            <v>0</v>
          </cell>
          <cell r="AU25">
            <v>65223360</v>
          </cell>
          <cell r="AV25">
            <v>0</v>
          </cell>
          <cell r="AW25">
            <v>98667919</v>
          </cell>
          <cell r="AX25">
            <v>45978400</v>
          </cell>
          <cell r="AY25">
            <v>0</v>
          </cell>
          <cell r="AZ25">
            <v>0</v>
          </cell>
          <cell r="BA25">
            <v>1618966629</v>
          </cell>
          <cell r="BB25">
            <v>8179</v>
          </cell>
          <cell r="BC25">
            <v>1599785</v>
          </cell>
          <cell r="BD25">
            <v>777075</v>
          </cell>
          <cell r="BE25">
            <v>2.6679999999999999E-2</v>
          </cell>
          <cell r="BF25">
            <v>1.6299999999999999E-3</v>
          </cell>
          <cell r="BG25">
            <v>44392925</v>
          </cell>
          <cell r="BH25">
            <v>1567929086</v>
          </cell>
          <cell r="BI25"/>
          <cell r="BJ25"/>
          <cell r="BK25">
            <v>36636422</v>
          </cell>
          <cell r="BL25">
            <v>9623900</v>
          </cell>
          <cell r="BM25">
            <v>2334873</v>
          </cell>
          <cell r="BN25">
            <v>-467476</v>
          </cell>
          <cell r="BO25">
            <v>0</v>
          </cell>
          <cell r="BP25">
            <v>112</v>
          </cell>
          <cell r="BQ25">
            <v>0</v>
          </cell>
        </row>
        <row r="26">
          <cell r="A26">
            <v>40817</v>
          </cell>
          <cell r="B26">
            <v>36669491.369999997</v>
          </cell>
          <cell r="C26">
            <v>8504675.3200000003</v>
          </cell>
          <cell r="D26">
            <v>2154149.21</v>
          </cell>
          <cell r="E26">
            <v>427808.68</v>
          </cell>
          <cell r="F26">
            <v>0</v>
          </cell>
          <cell r="G26">
            <v>16163.42</v>
          </cell>
          <cell r="H26">
            <v>4094.03</v>
          </cell>
          <cell r="I26">
            <v>0</v>
          </cell>
          <cell r="J26">
            <v>822534.95</v>
          </cell>
          <cell r="K26">
            <v>3500261.26</v>
          </cell>
          <cell r="L26">
            <v>2520519.7000000002</v>
          </cell>
          <cell r="M26">
            <v>4728.67</v>
          </cell>
          <cell r="N26">
            <v>0</v>
          </cell>
          <cell r="O26">
            <v>7264487.5599999996</v>
          </cell>
          <cell r="P26">
            <v>6301153.3099999996</v>
          </cell>
          <cell r="Q26">
            <v>324370.84999999998</v>
          </cell>
          <cell r="R26">
            <v>768.59</v>
          </cell>
          <cell r="S26">
            <v>0</v>
          </cell>
          <cell r="T26">
            <v>0</v>
          </cell>
          <cell r="U26">
            <v>0</v>
          </cell>
          <cell r="V26">
            <v>4820149.8099999996</v>
          </cell>
          <cell r="W26">
            <v>55056.31</v>
          </cell>
          <cell r="X26">
            <v>0</v>
          </cell>
          <cell r="Y26">
            <v>3963562.69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1591541000</v>
          </cell>
          <cell r="AE26">
            <v>430745000</v>
          </cell>
          <cell r="AF26">
            <v>52706000</v>
          </cell>
          <cell r="AG26">
            <v>56041000</v>
          </cell>
          <cell r="AH26">
            <v>317943000</v>
          </cell>
          <cell r="AI26">
            <v>298394000</v>
          </cell>
          <cell r="AJ26">
            <v>34000</v>
          </cell>
          <cell r="AK26">
            <v>0</v>
          </cell>
          <cell r="AL26">
            <v>40067000</v>
          </cell>
          <cell r="AO26">
            <v>88512698</v>
          </cell>
          <cell r="AP26">
            <v>189684000</v>
          </cell>
          <cell r="AQ26">
            <v>2102000</v>
          </cell>
          <cell r="AR26">
            <v>158275000</v>
          </cell>
          <cell r="AS26">
            <v>0</v>
          </cell>
          <cell r="AT26">
            <v>0</v>
          </cell>
          <cell r="AU26">
            <v>74157862</v>
          </cell>
          <cell r="AV26">
            <v>0</v>
          </cell>
          <cell r="AW26">
            <v>94245568</v>
          </cell>
          <cell r="AX26">
            <v>43858000</v>
          </cell>
          <cell r="AY26">
            <v>0</v>
          </cell>
          <cell r="AZ26">
            <v>0</v>
          </cell>
          <cell r="BA26">
            <v>1459659884</v>
          </cell>
          <cell r="BB26">
            <v>4057</v>
          </cell>
          <cell r="BC26">
            <v>1392931</v>
          </cell>
          <cell r="BD26">
            <v>0</v>
          </cell>
          <cell r="BE26">
            <v>2.6679999999999999E-2</v>
          </cell>
          <cell r="BF26">
            <v>-2.0999999999999999E-3</v>
          </cell>
          <cell r="BG26">
            <v>38886441</v>
          </cell>
          <cell r="BH26">
            <v>1581918011</v>
          </cell>
          <cell r="BI26"/>
          <cell r="BJ26"/>
          <cell r="BK26">
            <v>35747106</v>
          </cell>
          <cell r="BL26">
            <v>7264488</v>
          </cell>
          <cell r="BM26">
            <v>4828165</v>
          </cell>
          <cell r="BN26">
            <v>-703012</v>
          </cell>
          <cell r="BO26">
            <v>319</v>
          </cell>
          <cell r="BP26">
            <v>0</v>
          </cell>
          <cell r="BQ26">
            <v>0</v>
          </cell>
        </row>
        <row r="27">
          <cell r="A27">
            <v>40848</v>
          </cell>
          <cell r="B27">
            <v>37659632.009999998</v>
          </cell>
          <cell r="C27">
            <v>7217684.6799999997</v>
          </cell>
          <cell r="D27">
            <v>1849170.82</v>
          </cell>
          <cell r="E27">
            <v>1089848.8899999999</v>
          </cell>
          <cell r="F27">
            <v>38750.04</v>
          </cell>
          <cell r="G27">
            <v>356289.49</v>
          </cell>
          <cell r="H27">
            <v>91281.37</v>
          </cell>
          <cell r="I27">
            <v>0</v>
          </cell>
          <cell r="J27">
            <v>1444103.49</v>
          </cell>
          <cell r="K27">
            <v>1181520</v>
          </cell>
          <cell r="L27">
            <v>723967</v>
          </cell>
          <cell r="M27">
            <v>35547</v>
          </cell>
          <cell r="N27">
            <v>0</v>
          </cell>
          <cell r="O27">
            <v>6037926.8200000003</v>
          </cell>
          <cell r="P27">
            <v>5211601.87</v>
          </cell>
          <cell r="Q27">
            <v>198150.71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1946386.18</v>
          </cell>
          <cell r="W27">
            <v>0</v>
          </cell>
          <cell r="X27">
            <v>0</v>
          </cell>
          <cell r="Y27">
            <v>1863831.27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1550793000</v>
          </cell>
          <cell r="AE27">
            <v>354310000</v>
          </cell>
          <cell r="AF27">
            <v>43836000</v>
          </cell>
          <cell r="AG27">
            <v>46638000</v>
          </cell>
          <cell r="AH27">
            <v>263803000</v>
          </cell>
          <cell r="AI27">
            <v>240256000</v>
          </cell>
          <cell r="AJ27">
            <v>0</v>
          </cell>
          <cell r="AK27">
            <v>0</v>
          </cell>
          <cell r="AL27">
            <v>39254000</v>
          </cell>
          <cell r="AO27">
            <v>43022204</v>
          </cell>
          <cell r="AP27">
            <v>74239000</v>
          </cell>
          <cell r="AQ27">
            <v>0</v>
          </cell>
          <cell r="AR27">
            <v>71349000</v>
          </cell>
          <cell r="AS27">
            <v>0</v>
          </cell>
          <cell r="AT27">
            <v>0</v>
          </cell>
          <cell r="AU27">
            <v>84616670</v>
          </cell>
          <cell r="AV27">
            <v>0</v>
          </cell>
          <cell r="AW27">
            <v>95731032</v>
          </cell>
          <cell r="AX27">
            <v>43301600</v>
          </cell>
          <cell r="AY27">
            <v>0</v>
          </cell>
          <cell r="AZ27">
            <v>0</v>
          </cell>
          <cell r="BA27">
            <v>1256720738</v>
          </cell>
          <cell r="BB27">
            <v>8086</v>
          </cell>
          <cell r="BC27">
            <v>1473670</v>
          </cell>
          <cell r="BD27">
            <v>0</v>
          </cell>
          <cell r="BE27">
            <v>2.6679999999999999E-2</v>
          </cell>
          <cell r="BF27">
            <v>-5.5999999999999995E-4</v>
          </cell>
          <cell r="BG27">
            <v>42558264</v>
          </cell>
          <cell r="BH27">
            <v>1629615195</v>
          </cell>
          <cell r="BI27"/>
          <cell r="BJ27"/>
          <cell r="BK27">
            <v>38278930</v>
          </cell>
          <cell r="BL27">
            <v>6037927</v>
          </cell>
          <cell r="BM27">
            <v>1947212</v>
          </cell>
          <cell r="BN27">
            <v>-188619</v>
          </cell>
          <cell r="BO27">
            <v>450</v>
          </cell>
          <cell r="BP27">
            <v>0</v>
          </cell>
          <cell r="BQ27">
            <v>0</v>
          </cell>
        </row>
        <row r="28">
          <cell r="A28">
            <v>40878</v>
          </cell>
          <cell r="B28">
            <v>41504273.560000002</v>
          </cell>
          <cell r="C28">
            <v>7234927.4000000004</v>
          </cell>
          <cell r="D28">
            <v>1839842.03</v>
          </cell>
          <cell r="E28">
            <v>676687.68</v>
          </cell>
          <cell r="F28">
            <v>0</v>
          </cell>
          <cell r="G28">
            <v>261538.53</v>
          </cell>
          <cell r="H28">
            <v>66509.25</v>
          </cell>
          <cell r="I28">
            <v>0</v>
          </cell>
          <cell r="J28">
            <v>859400.23</v>
          </cell>
          <cell r="K28">
            <v>185719</v>
          </cell>
          <cell r="L28">
            <v>127403</v>
          </cell>
          <cell r="M28">
            <v>1910</v>
          </cell>
          <cell r="N28">
            <v>0</v>
          </cell>
          <cell r="O28">
            <v>10289051.9</v>
          </cell>
          <cell r="P28">
            <v>9222194.8699999992</v>
          </cell>
          <cell r="Q28">
            <v>323317.86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3197008.82</v>
          </cell>
          <cell r="W28">
            <v>0</v>
          </cell>
          <cell r="X28">
            <v>0</v>
          </cell>
          <cell r="Y28">
            <v>3179160.19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1639922000</v>
          </cell>
          <cell r="AE28">
            <v>343948000</v>
          </cell>
          <cell r="AF28">
            <v>42238000</v>
          </cell>
          <cell r="AG28">
            <v>44940000</v>
          </cell>
          <cell r="AH28">
            <v>451793000</v>
          </cell>
          <cell r="AI28">
            <v>425541000</v>
          </cell>
          <cell r="AJ28">
            <v>0</v>
          </cell>
          <cell r="AK28">
            <v>0</v>
          </cell>
          <cell r="AL28">
            <v>37953000</v>
          </cell>
          <cell r="AM28">
            <v>0</v>
          </cell>
          <cell r="AN28">
            <v>0</v>
          </cell>
          <cell r="AO28">
            <v>91401824</v>
          </cell>
          <cell r="AP28">
            <v>121525000</v>
          </cell>
          <cell r="AQ28">
            <v>0</v>
          </cell>
          <cell r="AR28">
            <v>120983000</v>
          </cell>
          <cell r="AS28">
            <v>0</v>
          </cell>
          <cell r="AT28">
            <v>0</v>
          </cell>
          <cell r="AU28">
            <v>100258274</v>
          </cell>
          <cell r="AV28">
            <v>0</v>
          </cell>
          <cell r="AW28">
            <v>110099062</v>
          </cell>
          <cell r="AX28">
            <v>46488800</v>
          </cell>
          <cell r="AY28">
            <v>0</v>
          </cell>
          <cell r="AZ28">
            <v>0</v>
          </cell>
          <cell r="BA28">
            <v>1478224470</v>
          </cell>
          <cell r="BB28">
            <v>13030</v>
          </cell>
          <cell r="BC28">
            <v>1896902</v>
          </cell>
          <cell r="BD28">
            <v>0</v>
          </cell>
          <cell r="BE28">
            <v>2.6679999999999999E-2</v>
          </cell>
          <cell r="BF28">
            <v>-3.3E-4</v>
          </cell>
          <cell r="BG28">
            <v>48481842</v>
          </cell>
          <cell r="BH28">
            <v>1840157989</v>
          </cell>
          <cell r="BI28"/>
          <cell r="BJ28"/>
          <cell r="BK28">
            <v>41121266</v>
          </cell>
          <cell r="BL28">
            <v>10289052</v>
          </cell>
          <cell r="BM28">
            <v>3197187</v>
          </cell>
          <cell r="BN28">
            <v>-268711</v>
          </cell>
          <cell r="BO28">
            <v>746</v>
          </cell>
          <cell r="BP28">
            <v>0</v>
          </cell>
          <cell r="BQ28">
            <v>0</v>
          </cell>
        </row>
        <row r="29">
          <cell r="A29">
            <v>40909</v>
          </cell>
          <cell r="B29">
            <v>45229342.840000004</v>
          </cell>
          <cell r="C29">
            <v>7509149.9500000002</v>
          </cell>
          <cell r="D29">
            <v>1909727.01</v>
          </cell>
          <cell r="E29">
            <v>718058.01</v>
          </cell>
          <cell r="F29">
            <v>395.91</v>
          </cell>
          <cell r="G29">
            <v>335939.1</v>
          </cell>
          <cell r="H29">
            <v>85436.02</v>
          </cell>
          <cell r="I29">
            <v>0</v>
          </cell>
          <cell r="J29">
            <v>1483806.61</v>
          </cell>
          <cell r="K29">
            <v>1243427</v>
          </cell>
          <cell r="L29">
            <v>1496970</v>
          </cell>
          <cell r="M29">
            <v>2714</v>
          </cell>
          <cell r="N29">
            <v>-256257</v>
          </cell>
          <cell r="O29">
            <v>10292875.109999999</v>
          </cell>
          <cell r="P29">
            <v>9405230.5199999996</v>
          </cell>
          <cell r="Q29">
            <v>265583.90999999997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2500396.77</v>
          </cell>
          <cell r="W29">
            <v>1278.1300000000001</v>
          </cell>
          <cell r="X29">
            <v>0</v>
          </cell>
          <cell r="Y29">
            <v>2491593.56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1773116000</v>
          </cell>
          <cell r="AE29">
            <v>355330000</v>
          </cell>
          <cell r="AF29">
            <v>43659000</v>
          </cell>
          <cell r="AG29">
            <v>46411000</v>
          </cell>
          <cell r="AH29">
            <v>457987626</v>
          </cell>
          <cell r="AI29">
            <v>436448000</v>
          </cell>
          <cell r="AJ29">
            <v>0</v>
          </cell>
          <cell r="AK29">
            <v>0</v>
          </cell>
          <cell r="AL29">
            <v>39101374</v>
          </cell>
          <cell r="AM29">
            <v>0</v>
          </cell>
          <cell r="AN29">
            <v>0</v>
          </cell>
          <cell r="AO29">
            <v>112395719</v>
          </cell>
          <cell r="AP29">
            <v>94181000</v>
          </cell>
          <cell r="AQ29">
            <v>44000</v>
          </cell>
          <cell r="AR29">
            <v>93872000</v>
          </cell>
          <cell r="AS29">
            <v>0</v>
          </cell>
          <cell r="AT29">
            <v>0</v>
          </cell>
          <cell r="AU29">
            <v>112765196</v>
          </cell>
          <cell r="AV29">
            <v>0</v>
          </cell>
          <cell r="AW29">
            <v>117651870</v>
          </cell>
          <cell r="AX29">
            <v>49277600</v>
          </cell>
          <cell r="BA29">
            <v>1612798139</v>
          </cell>
          <cell r="BB29">
            <v>16720</v>
          </cell>
          <cell r="BC29">
            <v>2386756</v>
          </cell>
          <cell r="BD29">
            <v>0</v>
          </cell>
          <cell r="BE29">
            <v>2.6679999999999999E-2</v>
          </cell>
          <cell r="BF29">
            <v>-1E-4</v>
          </cell>
          <cell r="BG29">
            <v>53095092</v>
          </cell>
          <cell r="BH29">
            <v>1997349084</v>
          </cell>
          <cell r="BI29"/>
          <cell r="BJ29"/>
          <cell r="BK29">
            <v>45166847</v>
          </cell>
          <cell r="BL29">
            <v>10292875</v>
          </cell>
          <cell r="BM29">
            <v>2500472</v>
          </cell>
          <cell r="BN29">
            <v>-135842</v>
          </cell>
          <cell r="BO29">
            <v>851</v>
          </cell>
          <cell r="BP29">
            <v>0</v>
          </cell>
          <cell r="BQ29">
            <v>0</v>
          </cell>
        </row>
        <row r="30">
          <cell r="A30">
            <v>40940</v>
          </cell>
          <cell r="B30">
            <v>42266807.130000003</v>
          </cell>
          <cell r="C30">
            <v>8311028.5999999996</v>
          </cell>
          <cell r="D30">
            <v>2102939.5699999998</v>
          </cell>
          <cell r="E30">
            <v>452395.25</v>
          </cell>
          <cell r="F30">
            <v>226.09</v>
          </cell>
          <cell r="G30">
            <v>132858.54</v>
          </cell>
          <cell r="H30">
            <v>33617.19</v>
          </cell>
          <cell r="I30">
            <v>0</v>
          </cell>
          <cell r="J30">
            <v>1372797.06</v>
          </cell>
          <cell r="K30">
            <v>423959</v>
          </cell>
          <cell r="L30">
            <v>410960</v>
          </cell>
          <cell r="M30">
            <v>445</v>
          </cell>
          <cell r="N30">
            <v>0</v>
          </cell>
          <cell r="O30">
            <v>7217597.7400000002</v>
          </cell>
          <cell r="P30">
            <v>6394049.9800000004</v>
          </cell>
          <cell r="Q30">
            <v>50906.81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391331.14</v>
          </cell>
          <cell r="W30">
            <v>1559.41</v>
          </cell>
          <cell r="X30">
            <v>0</v>
          </cell>
          <cell r="Y30">
            <v>386945.35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1629864000</v>
          </cell>
          <cell r="AE30">
            <v>392742000</v>
          </cell>
          <cell r="AF30">
            <v>47998000</v>
          </cell>
          <cell r="AG30">
            <v>51049000</v>
          </cell>
          <cell r="AH30">
            <v>317339712</v>
          </cell>
          <cell r="AI30">
            <v>290185000</v>
          </cell>
          <cell r="AJ30">
            <v>0</v>
          </cell>
          <cell r="AK30">
            <v>0</v>
          </cell>
          <cell r="AL30">
            <v>36756662</v>
          </cell>
          <cell r="AM30">
            <v>0</v>
          </cell>
          <cell r="AN30">
            <v>0</v>
          </cell>
          <cell r="AO30">
            <v>87863494</v>
          </cell>
          <cell r="AP30">
            <v>13194000</v>
          </cell>
          <cell r="AQ30">
            <v>56000</v>
          </cell>
          <cell r="AR30">
            <v>13054000</v>
          </cell>
          <cell r="AS30">
            <v>0</v>
          </cell>
          <cell r="AT30">
            <v>0</v>
          </cell>
          <cell r="AU30">
            <v>95771474</v>
          </cell>
          <cell r="AV30">
            <v>0</v>
          </cell>
          <cell r="AW30">
            <v>105906051</v>
          </cell>
          <cell r="AX30">
            <v>45377600</v>
          </cell>
          <cell r="AY30">
            <v>0</v>
          </cell>
          <cell r="AZ30">
            <v>0</v>
          </cell>
          <cell r="BA30">
            <v>1703648389</v>
          </cell>
          <cell r="BB30">
            <v>12519</v>
          </cell>
          <cell r="BC30">
            <v>2103473</v>
          </cell>
          <cell r="BD30">
            <v>0</v>
          </cell>
          <cell r="BE30">
            <v>2.6679999999999999E-2</v>
          </cell>
          <cell r="BF30">
            <v>5.2999999999999998E-4</v>
          </cell>
          <cell r="BG30">
            <v>48814487</v>
          </cell>
          <cell r="BH30">
            <v>1793717493</v>
          </cell>
          <cell r="BI30"/>
          <cell r="BJ30"/>
          <cell r="BK30">
            <v>41941398</v>
          </cell>
          <cell r="BL30">
            <v>7217598</v>
          </cell>
          <cell r="BM30">
            <v>391358</v>
          </cell>
          <cell r="BN30">
            <v>-46849</v>
          </cell>
          <cell r="BO30">
            <v>718</v>
          </cell>
          <cell r="BP30">
            <v>0</v>
          </cell>
          <cell r="BQ30">
            <v>0</v>
          </cell>
        </row>
        <row r="31">
          <cell r="A31">
            <v>40969</v>
          </cell>
          <cell r="B31">
            <v>35378172.060000002</v>
          </cell>
          <cell r="C31">
            <v>6351513.0599999996</v>
          </cell>
          <cell r="D31">
            <v>1614935.72</v>
          </cell>
          <cell r="E31">
            <v>552759.41</v>
          </cell>
          <cell r="F31">
            <v>0.23</v>
          </cell>
          <cell r="G31">
            <v>96367.44</v>
          </cell>
          <cell r="H31">
            <v>24502.38</v>
          </cell>
          <cell r="I31">
            <v>0</v>
          </cell>
          <cell r="J31">
            <v>2008792.83</v>
          </cell>
          <cell r="K31">
            <v>2217827</v>
          </cell>
          <cell r="L31">
            <v>2021134</v>
          </cell>
          <cell r="M31">
            <v>85929</v>
          </cell>
          <cell r="N31">
            <v>0</v>
          </cell>
          <cell r="O31">
            <v>8466831.3200000003</v>
          </cell>
          <cell r="P31">
            <v>7341090.2300000004</v>
          </cell>
          <cell r="Q31">
            <v>63959.92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534339.06000000006</v>
          </cell>
          <cell r="W31">
            <v>9084.39</v>
          </cell>
          <cell r="X31">
            <v>0</v>
          </cell>
          <cell r="Y31">
            <v>521486.23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1394476000</v>
          </cell>
          <cell r="AE31">
            <v>292561000</v>
          </cell>
          <cell r="AF31">
            <v>35951000</v>
          </cell>
          <cell r="AG31">
            <v>38190000</v>
          </cell>
          <cell r="AH31">
            <v>357908863</v>
          </cell>
          <cell r="AI31">
            <v>317379000</v>
          </cell>
          <cell r="AJ31">
            <v>0</v>
          </cell>
          <cell r="AK31">
            <v>0</v>
          </cell>
          <cell r="AL31">
            <v>37268137</v>
          </cell>
          <cell r="AM31">
            <v>0</v>
          </cell>
          <cell r="AN31">
            <v>0</v>
          </cell>
          <cell r="AO31">
            <v>93309488</v>
          </cell>
          <cell r="AP31">
            <v>17485000</v>
          </cell>
          <cell r="AQ31">
            <v>267000</v>
          </cell>
          <cell r="AR31">
            <v>17109000</v>
          </cell>
          <cell r="AS31">
            <v>0</v>
          </cell>
          <cell r="AT31">
            <v>0</v>
          </cell>
          <cell r="AU31">
            <v>73910862</v>
          </cell>
          <cell r="AV31">
            <v>0</v>
          </cell>
          <cell r="AW31">
            <v>97026794</v>
          </cell>
          <cell r="AX31">
            <v>45254400</v>
          </cell>
          <cell r="AY31">
            <v>0</v>
          </cell>
          <cell r="AZ31">
            <v>0</v>
          </cell>
          <cell r="BA31">
            <v>1471376467</v>
          </cell>
          <cell r="BB31">
            <v>7501</v>
          </cell>
          <cell r="BC31">
            <v>1812126</v>
          </cell>
          <cell r="BD31">
            <v>0</v>
          </cell>
          <cell r="BE31">
            <v>2.6679999999999999E-2</v>
          </cell>
          <cell r="BF31">
            <v>5.1000000000000004E-4</v>
          </cell>
          <cell r="BG31">
            <v>44193680</v>
          </cell>
          <cell r="BH31">
            <v>1625540682</v>
          </cell>
          <cell r="BI31"/>
          <cell r="BJ31"/>
          <cell r="BK31">
            <v>36289389</v>
          </cell>
          <cell r="BL31">
            <v>8466831</v>
          </cell>
          <cell r="BM31">
            <v>534376</v>
          </cell>
          <cell r="BN31">
            <v>28164</v>
          </cell>
          <cell r="BO31">
            <v>298</v>
          </cell>
          <cell r="BP31">
            <v>34</v>
          </cell>
          <cell r="BQ31">
            <v>0</v>
          </cell>
        </row>
        <row r="32">
          <cell r="A32">
            <v>41000</v>
          </cell>
          <cell r="M32"/>
          <cell r="N32"/>
          <cell r="U32">
            <v>0</v>
          </cell>
          <cell r="Z32"/>
          <cell r="AA32"/>
          <cell r="AB32"/>
          <cell r="AC32"/>
          <cell r="BA32">
            <v>1336068601</v>
          </cell>
          <cell r="BD32">
            <v>0</v>
          </cell>
          <cell r="BH32"/>
          <cell r="BI32"/>
          <cell r="BJ32"/>
          <cell r="BK32"/>
          <cell r="BL32"/>
          <cell r="BM32"/>
          <cell r="BN32"/>
          <cell r="BO32"/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KU (Not Filed)"/>
      <sheetName val="Ex 1"/>
      <sheetName val="Ex 2"/>
      <sheetName val="Ex 3"/>
      <sheetName val="SuppSch-Ex 3(Page1,2)"/>
      <sheetName val="SuppSch-Ex 3(Page3)"/>
      <sheetName val="Ex 4 (Page1)"/>
      <sheetName val="SuppSch-Ex 4 (Page2)"/>
      <sheetName val="Ex 5"/>
      <sheetName val="EX 6"/>
      <sheetName val="Ex 7"/>
      <sheetName val="2.4-Ex 8 (ASSD)"/>
      <sheetName val="Ex 8"/>
      <sheetName val="Ex 9"/>
      <sheetName val="1.00"/>
      <sheetName val="1.01r"/>
      <sheetName val="1.02r"/>
      <sheetName val="1.01"/>
      <sheetName val="1.02"/>
      <sheetName val="1.03"/>
      <sheetName val="1.04"/>
      <sheetName val="1.04r"/>
      <sheetName val="1.05"/>
      <sheetName val="1.06"/>
      <sheetName val="1.07"/>
      <sheetName val="1.08"/>
      <sheetName val="1.07 Weighted Avg Factor"/>
      <sheetName val="1.09"/>
      <sheetName val="1.11r"/>
      <sheetName val="1.10"/>
      <sheetName val="1.11"/>
      <sheetName val="1.14r"/>
      <sheetName val="1.12"/>
      <sheetName val="1.13"/>
      <sheetName val="1.14"/>
      <sheetName val="1.19r"/>
      <sheetName val="1.20r"/>
      <sheetName val="1.15"/>
      <sheetName val="1.16"/>
      <sheetName val="1.17"/>
      <sheetName val="1.33"/>
      <sheetName val="1.34"/>
      <sheetName val="1.37"/>
      <sheetName val="1.38"/>
      <sheetName val="1.18"/>
      <sheetName val="1.19"/>
      <sheetName val="1.20"/>
      <sheetName val="1.21"/>
      <sheetName val="1.22"/>
      <sheetName val="1.23"/>
      <sheetName val="1.24-1.28"/>
      <sheetName val="1.29"/>
      <sheetName val="1.30"/>
      <sheetName val="1.31"/>
      <sheetName val="1.44"/>
      <sheetName val="1.45"/>
      <sheetName val="1.46"/>
      <sheetName val="1.32"/>
      <sheetName val="1.48"/>
      <sheetName val="Allocators"/>
    </sheetNames>
    <sheetDataSet>
      <sheetData sheetId="0">
        <row r="3">
          <cell r="B3" t="str">
            <v>March 31, 2012</v>
          </cell>
        </row>
        <row r="17">
          <cell r="A17" t="str">
            <v>1.01</v>
          </cell>
          <cell r="B17" t="str">
            <v>Conroy</v>
          </cell>
        </row>
      </sheetData>
      <sheetData sheetId="1" refreshError="1"/>
      <sheetData sheetId="2">
        <row r="1">
          <cell r="K1" t="str">
            <v>Exhibit 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A47"/>
  <sheetViews>
    <sheetView zoomScaleNormal="100" workbookViewId="0">
      <pane xSplit="1" ySplit="7" topLeftCell="BN8" activePane="bottomRight" state="frozen"/>
      <selection pane="topRight" activeCell="B1" sqref="B1"/>
      <selection pane="bottomLeft" activeCell="A8" sqref="A8"/>
      <selection pane="bottomRight" activeCell="BO23" sqref="BO23"/>
    </sheetView>
  </sheetViews>
  <sheetFormatPr defaultRowHeight="12.75"/>
  <cols>
    <col min="1" max="1" width="8.28515625" style="7" customWidth="1"/>
    <col min="2" max="2" width="16.140625" style="12" bestFit="1" customWidth="1"/>
    <col min="3" max="3" width="15.28515625" style="12" bestFit="1" customWidth="1"/>
    <col min="4" max="4" width="16" style="12" customWidth="1"/>
    <col min="5" max="5" width="8.140625" style="12" customWidth="1"/>
    <col min="6" max="6" width="12.85546875" style="12" bestFit="1" customWidth="1"/>
    <col min="7" max="7" width="9.42578125" style="12" bestFit="1" customWidth="1"/>
    <col min="8" max="9" width="13" style="12" bestFit="1" customWidth="1"/>
    <col min="10" max="10" width="15.7109375" style="12" customWidth="1"/>
    <col min="11" max="11" width="14.42578125" style="12" bestFit="1" customWidth="1"/>
    <col min="12" max="12" width="14" style="12" bestFit="1" customWidth="1"/>
    <col min="13" max="13" width="14.85546875" style="12" bestFit="1" customWidth="1"/>
    <col min="14" max="14" width="14.140625" style="12" bestFit="1" customWidth="1"/>
    <col min="15" max="15" width="14.7109375" style="12" bestFit="1" customWidth="1"/>
    <col min="16" max="16" width="15.85546875" style="12" bestFit="1" customWidth="1"/>
    <col min="17" max="17" width="15.7109375" style="12" customWidth="1"/>
    <col min="18" max="18" width="11" style="12" customWidth="1"/>
    <col min="19" max="19" width="16.140625" style="12" bestFit="1" customWidth="1"/>
    <col min="20" max="20" width="11.28515625" style="12" bestFit="1" customWidth="1"/>
    <col min="21" max="21" width="12.85546875" style="12" bestFit="1" customWidth="1"/>
    <col min="22" max="22" width="14" style="12" bestFit="1" customWidth="1"/>
    <col min="23" max="23" width="11.28515625" style="12" bestFit="1" customWidth="1"/>
    <col min="24" max="24" width="10.28515625" style="12" bestFit="1" customWidth="1"/>
    <col min="25" max="25" width="14.42578125" style="12" bestFit="1" customWidth="1"/>
    <col min="26" max="28" width="14" style="12" bestFit="1" customWidth="1"/>
    <col min="29" max="30" width="11.28515625" style="12" bestFit="1" customWidth="1"/>
    <col min="31" max="31" width="15.42578125" style="12" customWidth="1"/>
    <col min="32" max="32" width="11.85546875" style="12" bestFit="1" customWidth="1"/>
    <col min="33" max="33" width="16.5703125" style="13" bestFit="1" customWidth="1"/>
    <col min="34" max="34" width="15" style="13" bestFit="1" customWidth="1"/>
    <col min="35" max="36" width="14" style="13" bestFit="1" customWidth="1"/>
    <col min="37" max="37" width="15" style="13" bestFit="1" customWidth="1"/>
    <col min="38" max="38" width="12.28515625" style="13" customWidth="1"/>
    <col min="39" max="39" width="8.7109375" style="13" bestFit="1" customWidth="1"/>
    <col min="40" max="40" width="10.85546875" style="12" bestFit="1" customWidth="1"/>
    <col min="41" max="41" width="12.85546875" style="13" bestFit="1" customWidth="1"/>
    <col min="42" max="42" width="15" style="13" bestFit="1" customWidth="1"/>
    <col min="43" max="43" width="12.85546875" style="13" bestFit="1" customWidth="1"/>
    <col min="44" max="44" width="8.7109375" style="13" bestFit="1" customWidth="1"/>
    <col min="45" max="45" width="14.42578125" style="12" bestFit="1" customWidth="1"/>
    <col min="46" max="46" width="16.5703125" style="13" bestFit="1" customWidth="1"/>
    <col min="47" max="47" width="15" style="13" bestFit="1" customWidth="1"/>
    <col min="48" max="48" width="13.140625" style="13" bestFit="1" customWidth="1"/>
    <col min="49" max="49" width="11.28515625" style="13" bestFit="1" customWidth="1"/>
    <col min="50" max="50" width="16.5703125" style="13" bestFit="1" customWidth="1"/>
    <col min="51" max="51" width="16.140625" style="14" customWidth="1"/>
    <col min="52" max="52" width="10.7109375" style="45" bestFit="1" customWidth="1"/>
    <col min="53" max="53" width="13.5703125" style="47" bestFit="1" customWidth="1"/>
    <col min="54" max="54" width="22.7109375" style="47" bestFit="1" customWidth="1"/>
    <col min="55" max="55" width="16.85546875" style="45" bestFit="1" customWidth="1"/>
    <col min="56" max="56" width="10.7109375" style="48" bestFit="1" customWidth="1"/>
    <col min="57" max="57" width="1.85546875" style="48" customWidth="1"/>
    <col min="58" max="58" width="19" style="48" bestFit="1" customWidth="1"/>
    <col min="59" max="59" width="16.28515625" style="48" bestFit="1" customWidth="1"/>
    <col min="60" max="60" width="16.140625" style="48" bestFit="1" customWidth="1"/>
    <col min="61" max="61" width="13.7109375" style="48" bestFit="1" customWidth="1"/>
    <col min="62" max="62" width="11.42578125" style="7" bestFit="1" customWidth="1"/>
    <col min="63" max="63" width="9.140625" style="7"/>
    <col min="64" max="64" width="10.28515625" style="7" bestFit="1" customWidth="1"/>
    <col min="65" max="65" width="12.85546875" style="7" bestFit="1" customWidth="1"/>
    <col min="66" max="66" width="15.5703125" style="7" bestFit="1" customWidth="1"/>
    <col min="67" max="67" width="13.42578125" style="7" customWidth="1"/>
    <col min="68" max="68" width="14" style="7" bestFit="1" customWidth="1"/>
    <col min="69" max="69" width="10.85546875" style="7" customWidth="1"/>
    <col min="70" max="70" width="15" style="7" bestFit="1" customWidth="1"/>
    <col min="71" max="71" width="15.5703125" style="7" customWidth="1"/>
    <col min="72" max="73" width="15" style="7" bestFit="1" customWidth="1"/>
    <col min="74" max="74" width="11.5703125" style="7" customWidth="1"/>
    <col min="75" max="75" width="9.140625" style="7"/>
    <col min="76" max="76" width="10.85546875" style="7" bestFit="1" customWidth="1"/>
    <col min="77" max="77" width="26.140625" style="7" customWidth="1"/>
    <col min="78" max="78" width="14" style="7" bestFit="1" customWidth="1"/>
    <col min="79" max="79" width="12.28515625" style="7" bestFit="1" customWidth="1"/>
    <col min="80" max="16384" width="9.140625" style="7"/>
  </cols>
  <sheetData>
    <row r="1" spans="1:79">
      <c r="A1" s="19"/>
      <c r="B1" s="89" t="s">
        <v>90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1"/>
      <c r="N1" s="89" t="s">
        <v>44</v>
      </c>
      <c r="O1" s="90"/>
      <c r="P1" s="91"/>
      <c r="Q1" s="90"/>
      <c r="R1" s="90"/>
      <c r="S1" s="97" t="s">
        <v>63</v>
      </c>
      <c r="T1" s="90"/>
      <c r="U1" s="90"/>
      <c r="V1" s="90"/>
      <c r="W1" s="90"/>
      <c r="X1" s="90"/>
      <c r="Y1" s="90"/>
      <c r="Z1" s="90"/>
      <c r="AA1" s="90"/>
      <c r="AB1" s="90"/>
      <c r="AC1" s="90"/>
      <c r="AD1" s="91"/>
      <c r="AE1" s="84" t="s">
        <v>89</v>
      </c>
      <c r="AF1" s="16"/>
      <c r="AG1" s="71"/>
      <c r="AH1" s="104" t="s">
        <v>91</v>
      </c>
      <c r="AI1" s="104"/>
      <c r="AJ1" s="104"/>
      <c r="AK1" s="72" t="s">
        <v>64</v>
      </c>
      <c r="AL1" s="106" t="s">
        <v>41</v>
      </c>
      <c r="AM1" s="97" t="s">
        <v>64</v>
      </c>
      <c r="AN1" s="91"/>
      <c r="AO1" s="89" t="s">
        <v>64</v>
      </c>
      <c r="AP1" s="90"/>
      <c r="AQ1" s="90"/>
      <c r="AR1" s="90"/>
      <c r="AS1" s="91"/>
      <c r="AT1" s="33" t="s">
        <v>64</v>
      </c>
      <c r="AU1" s="105" t="s">
        <v>64</v>
      </c>
      <c r="AV1" s="104"/>
      <c r="AW1" s="106"/>
      <c r="AX1" s="106" t="s">
        <v>79</v>
      </c>
      <c r="AY1" s="86" t="s">
        <v>92</v>
      </c>
      <c r="AZ1" s="18"/>
      <c r="BA1" s="15"/>
      <c r="BB1" s="15"/>
      <c r="BC1" s="18"/>
      <c r="BD1" s="7"/>
      <c r="BE1" s="7"/>
      <c r="BF1" s="7"/>
      <c r="BG1" s="7"/>
      <c r="BH1" s="7"/>
      <c r="BI1" s="7"/>
      <c r="BJ1" s="56" t="s">
        <v>77</v>
      </c>
      <c r="BK1" s="57"/>
      <c r="BM1" s="57"/>
      <c r="BN1" s="82" t="s">
        <v>86</v>
      </c>
      <c r="BO1" s="57"/>
    </row>
    <row r="2" spans="1:79" ht="13.5" thickBot="1">
      <c r="A2" s="20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  <c r="N2" s="92"/>
      <c r="O2" s="93"/>
      <c r="P2" s="94"/>
      <c r="Q2" s="93"/>
      <c r="R2" s="93"/>
      <c r="S2" s="92"/>
      <c r="T2" s="93"/>
      <c r="U2" s="93"/>
      <c r="V2" s="93"/>
      <c r="W2" s="93"/>
      <c r="X2" s="93"/>
      <c r="Y2" s="94"/>
      <c r="Z2" s="92"/>
      <c r="AA2" s="93"/>
      <c r="AB2" s="93"/>
      <c r="AC2" s="93"/>
      <c r="AD2" s="94"/>
      <c r="AE2" s="95"/>
      <c r="AF2" s="96"/>
      <c r="AG2" s="107"/>
      <c r="AH2" s="108"/>
      <c r="AI2" s="108"/>
      <c r="AJ2" s="109"/>
      <c r="AK2" s="21"/>
      <c r="AL2" s="22"/>
      <c r="AM2" s="23"/>
      <c r="AN2" s="24"/>
      <c r="AO2" s="92"/>
      <c r="AP2" s="93"/>
      <c r="AQ2" s="93"/>
      <c r="AR2" s="93"/>
      <c r="AS2" s="94"/>
      <c r="AT2" s="21"/>
      <c r="AU2" s="107"/>
      <c r="AV2" s="108"/>
      <c r="AW2" s="109"/>
      <c r="AX2" s="22"/>
      <c r="AY2" s="25"/>
      <c r="AZ2" s="17"/>
      <c r="BA2" s="98"/>
      <c r="BB2" s="99"/>
      <c r="BC2" s="100"/>
      <c r="BD2" s="7"/>
      <c r="BE2" s="7"/>
      <c r="BF2" s="7"/>
      <c r="BG2" s="7"/>
      <c r="BH2" s="7"/>
      <c r="BI2" s="7"/>
    </row>
    <row r="3" spans="1:79">
      <c r="A3" s="26" t="s">
        <v>0</v>
      </c>
      <c r="B3" s="27">
        <v>2</v>
      </c>
      <c r="C3" s="27">
        <v>3</v>
      </c>
      <c r="D3" s="27">
        <v>4</v>
      </c>
      <c r="E3" s="27">
        <v>5</v>
      </c>
      <c r="F3" s="27">
        <v>6</v>
      </c>
      <c r="G3" s="27">
        <v>7</v>
      </c>
      <c r="H3" s="27">
        <v>8</v>
      </c>
      <c r="I3" s="27">
        <v>9</v>
      </c>
      <c r="J3" s="27">
        <v>10</v>
      </c>
      <c r="K3" s="28">
        <v>11</v>
      </c>
      <c r="L3" s="28">
        <v>12</v>
      </c>
      <c r="M3" s="29">
        <v>13</v>
      </c>
      <c r="N3" s="30" t="s">
        <v>1</v>
      </c>
      <c r="O3" s="120" t="s">
        <v>2</v>
      </c>
      <c r="P3" s="96"/>
      <c r="Q3" s="118"/>
      <c r="R3" s="118"/>
      <c r="S3" s="30"/>
      <c r="T3" s="95" t="s">
        <v>4</v>
      </c>
      <c r="U3" s="120"/>
      <c r="V3" s="123"/>
      <c r="W3" s="123"/>
      <c r="X3" s="118"/>
      <c r="Y3" s="118" t="s">
        <v>5</v>
      </c>
      <c r="Z3" s="30"/>
      <c r="AA3" s="95" t="s">
        <v>4</v>
      </c>
      <c r="AB3" s="120"/>
      <c r="AC3" s="120"/>
      <c r="AD3" s="96"/>
      <c r="AE3" s="5">
        <v>29</v>
      </c>
      <c r="AF3" s="4">
        <v>30</v>
      </c>
      <c r="AG3" s="31" t="s">
        <v>6</v>
      </c>
      <c r="AH3" s="100" t="s">
        <v>45</v>
      </c>
      <c r="AI3" s="102" t="s">
        <v>29</v>
      </c>
      <c r="AJ3" s="103"/>
      <c r="AK3" s="31"/>
      <c r="AL3" s="100"/>
      <c r="AM3" s="117" t="s">
        <v>42</v>
      </c>
      <c r="AN3" s="118"/>
      <c r="AO3" s="113" t="s">
        <v>54</v>
      </c>
      <c r="AP3" s="113"/>
      <c r="AQ3" s="113"/>
      <c r="AR3" s="114"/>
      <c r="AS3" s="118" t="s">
        <v>5</v>
      </c>
      <c r="AT3" s="17"/>
      <c r="AU3" s="101" t="s">
        <v>55</v>
      </c>
      <c r="AV3" s="102"/>
      <c r="AW3" s="103"/>
      <c r="AX3" s="31" t="s">
        <v>7</v>
      </c>
      <c r="AY3" s="32" t="s">
        <v>31</v>
      </c>
      <c r="AZ3" s="31" t="s">
        <v>61</v>
      </c>
      <c r="BA3" s="101" t="s">
        <v>8</v>
      </c>
      <c r="BB3" s="102"/>
      <c r="BC3" s="103"/>
      <c r="BD3" s="7"/>
      <c r="BE3" s="7"/>
      <c r="BF3" s="7"/>
      <c r="BG3" s="7"/>
      <c r="BH3" s="7"/>
      <c r="BI3" s="7"/>
    </row>
    <row r="4" spans="1:79">
      <c r="A4" s="26" t="s">
        <v>9</v>
      </c>
      <c r="B4" s="115" t="s">
        <v>47</v>
      </c>
      <c r="C4" s="121"/>
      <c r="D4" s="116"/>
      <c r="E4" s="34" t="s">
        <v>23</v>
      </c>
      <c r="F4" s="115" t="s">
        <v>48</v>
      </c>
      <c r="G4" s="121"/>
      <c r="H4" s="121"/>
      <c r="I4" s="121"/>
      <c r="J4" s="116"/>
      <c r="K4" s="119" t="s">
        <v>49</v>
      </c>
      <c r="L4" s="120"/>
      <c r="M4" s="96"/>
      <c r="N4" s="30" t="s">
        <v>11</v>
      </c>
      <c r="O4" s="123" t="s">
        <v>10</v>
      </c>
      <c r="P4" s="118" t="s">
        <v>12</v>
      </c>
      <c r="Q4" s="118"/>
      <c r="R4" s="118"/>
      <c r="S4" s="83" t="s">
        <v>24</v>
      </c>
      <c r="T4" s="95" t="s">
        <v>3</v>
      </c>
      <c r="U4" s="120"/>
      <c r="V4" s="122" t="s">
        <v>50</v>
      </c>
      <c r="W4" s="123"/>
      <c r="X4" s="123"/>
      <c r="Y4" s="118" t="s">
        <v>27</v>
      </c>
      <c r="Z4" s="1" t="s">
        <v>51</v>
      </c>
      <c r="AA4" s="124" t="s">
        <v>52</v>
      </c>
      <c r="AB4" s="96"/>
      <c r="AC4" s="125" t="s">
        <v>50</v>
      </c>
      <c r="AD4" s="116"/>
      <c r="AE4" s="95" t="s">
        <v>14</v>
      </c>
      <c r="AF4" s="118" t="s">
        <v>14</v>
      </c>
      <c r="AG4" s="31" t="s">
        <v>10</v>
      </c>
      <c r="AH4" s="100" t="s">
        <v>10</v>
      </c>
      <c r="AI4" s="99" t="s">
        <v>28</v>
      </c>
      <c r="AJ4" s="100" t="s">
        <v>30</v>
      </c>
      <c r="AK4" s="31" t="s">
        <v>24</v>
      </c>
      <c r="AL4" s="100" t="s">
        <v>24</v>
      </c>
      <c r="AM4" s="95" t="s">
        <v>36</v>
      </c>
      <c r="AN4" s="96"/>
      <c r="AO4" s="35" t="s">
        <v>3</v>
      </c>
      <c r="AP4" s="110" t="s">
        <v>13</v>
      </c>
      <c r="AQ4" s="111"/>
      <c r="AR4" s="112"/>
      <c r="AS4" s="118" t="s">
        <v>27</v>
      </c>
      <c r="AT4" s="31" t="s">
        <v>24</v>
      </c>
      <c r="AU4" s="31" t="s">
        <v>3</v>
      </c>
      <c r="AV4" s="101" t="s">
        <v>13</v>
      </c>
      <c r="AW4" s="103"/>
      <c r="AX4" s="31" t="s">
        <v>15</v>
      </c>
      <c r="AY4" s="32" t="s">
        <v>32</v>
      </c>
      <c r="AZ4" s="31" t="s">
        <v>43</v>
      </c>
      <c r="BA4" s="36" t="s">
        <v>16</v>
      </c>
      <c r="BB4" s="37" t="s">
        <v>60</v>
      </c>
      <c r="BC4" s="4" t="s">
        <v>17</v>
      </c>
      <c r="BD4" s="7"/>
      <c r="BE4" s="7"/>
      <c r="BF4" s="7"/>
      <c r="BG4" s="7"/>
      <c r="BH4" s="7"/>
      <c r="BI4" s="7"/>
    </row>
    <row r="5" spans="1:79" ht="51">
      <c r="A5" s="26"/>
      <c r="B5" s="38" t="s">
        <v>24</v>
      </c>
      <c r="C5" s="115" t="s">
        <v>45</v>
      </c>
      <c r="D5" s="116"/>
      <c r="E5" s="2" t="s">
        <v>46</v>
      </c>
      <c r="F5" s="123" t="s">
        <v>24</v>
      </c>
      <c r="G5" s="123" t="s">
        <v>34</v>
      </c>
      <c r="H5" s="123" t="s">
        <v>25</v>
      </c>
      <c r="I5" s="115" t="s">
        <v>45</v>
      </c>
      <c r="J5" s="116"/>
      <c r="K5" s="123" t="s">
        <v>56</v>
      </c>
      <c r="L5" s="123" t="s">
        <v>10</v>
      </c>
      <c r="M5" s="118" t="s">
        <v>25</v>
      </c>
      <c r="N5" s="30"/>
      <c r="O5" s="123"/>
      <c r="P5" s="118" t="s">
        <v>19</v>
      </c>
      <c r="Q5" s="39" t="s">
        <v>57</v>
      </c>
      <c r="R5" s="39" t="s">
        <v>68</v>
      </c>
      <c r="S5" s="76" t="s">
        <v>87</v>
      </c>
      <c r="T5" s="53" t="s">
        <v>69</v>
      </c>
      <c r="U5" s="123" t="s">
        <v>20</v>
      </c>
      <c r="V5" s="123" t="s">
        <v>35</v>
      </c>
      <c r="W5" s="123" t="s">
        <v>21</v>
      </c>
      <c r="X5" s="123" t="s">
        <v>26</v>
      </c>
      <c r="Y5" s="118" t="s">
        <v>19</v>
      </c>
      <c r="Z5" s="52" t="s">
        <v>70</v>
      </c>
      <c r="AA5" s="123" t="s">
        <v>38</v>
      </c>
      <c r="AB5" s="118" t="s">
        <v>20</v>
      </c>
      <c r="AC5" s="123" t="s">
        <v>35</v>
      </c>
      <c r="AD5" s="118" t="s">
        <v>21</v>
      </c>
      <c r="AE5" s="77" t="s">
        <v>88</v>
      </c>
      <c r="AF5" s="16"/>
      <c r="AG5" s="31" t="s">
        <v>18</v>
      </c>
      <c r="AH5" s="100" t="s">
        <v>18</v>
      </c>
      <c r="AI5" s="99"/>
      <c r="AJ5" s="100"/>
      <c r="AK5" s="31" t="s">
        <v>39</v>
      </c>
      <c r="AL5" s="50" t="s">
        <v>62</v>
      </c>
      <c r="AM5" s="31" t="s">
        <v>18</v>
      </c>
      <c r="AN5" s="118" t="s">
        <v>43</v>
      </c>
      <c r="AO5" s="54" t="s">
        <v>12</v>
      </c>
      <c r="AP5" s="55" t="s">
        <v>71</v>
      </c>
      <c r="AQ5" s="99" t="s">
        <v>21</v>
      </c>
      <c r="AR5" s="100" t="s">
        <v>72</v>
      </c>
      <c r="AS5" s="118" t="s">
        <v>19</v>
      </c>
      <c r="AT5" s="75" t="s">
        <v>73</v>
      </c>
      <c r="AU5" s="31" t="s">
        <v>38</v>
      </c>
      <c r="AV5" s="55" t="s">
        <v>74</v>
      </c>
      <c r="AW5" s="100" t="s">
        <v>21</v>
      </c>
      <c r="AX5" s="31"/>
      <c r="AY5" s="32"/>
      <c r="AZ5" s="31"/>
      <c r="BA5" s="40" t="s">
        <v>22</v>
      </c>
      <c r="BB5" s="37" t="s">
        <v>75</v>
      </c>
      <c r="BC5" s="100" t="s">
        <v>76</v>
      </c>
      <c r="BD5" s="41" t="s">
        <v>78</v>
      </c>
      <c r="BE5" s="7"/>
      <c r="BF5" s="41" t="s">
        <v>58</v>
      </c>
      <c r="BG5" s="58" t="s">
        <v>37</v>
      </c>
      <c r="BH5" s="58" t="s">
        <v>38</v>
      </c>
      <c r="BI5" s="59" t="s">
        <v>59</v>
      </c>
      <c r="BJ5" s="59" t="s">
        <v>65</v>
      </c>
      <c r="BK5" s="59" t="s">
        <v>66</v>
      </c>
      <c r="BL5" s="78" t="s">
        <v>135</v>
      </c>
      <c r="BM5" s="78" t="s">
        <v>82</v>
      </c>
      <c r="BN5" s="79" t="s">
        <v>83</v>
      </c>
      <c r="BO5" s="79" t="s">
        <v>84</v>
      </c>
      <c r="BP5" s="87" t="s">
        <v>93</v>
      </c>
      <c r="BQ5" s="87" t="s">
        <v>94</v>
      </c>
      <c r="BR5" s="78" t="s">
        <v>80</v>
      </c>
      <c r="BS5" s="79" t="s">
        <v>81</v>
      </c>
      <c r="BT5" s="78" t="s">
        <v>85</v>
      </c>
    </row>
    <row r="6" spans="1:79">
      <c r="A6" s="26"/>
      <c r="B6" s="30"/>
      <c r="C6" s="123" t="s">
        <v>24</v>
      </c>
      <c r="D6" s="118" t="s">
        <v>67</v>
      </c>
      <c r="E6" s="118"/>
      <c r="F6" s="123"/>
      <c r="G6" s="123" t="s">
        <v>33</v>
      </c>
      <c r="H6" s="123"/>
      <c r="I6" s="123" t="s">
        <v>24</v>
      </c>
      <c r="J6" s="118" t="s">
        <v>67</v>
      </c>
      <c r="K6" s="123"/>
      <c r="L6" s="123"/>
      <c r="M6" s="118" t="s">
        <v>53</v>
      </c>
      <c r="N6" s="1" t="s">
        <v>46</v>
      </c>
      <c r="O6" s="1" t="s">
        <v>46</v>
      </c>
      <c r="P6" s="1" t="s">
        <v>46</v>
      </c>
      <c r="Q6" s="1"/>
      <c r="R6" s="1"/>
      <c r="S6" s="1" t="s">
        <v>46</v>
      </c>
      <c r="T6" s="1" t="s">
        <v>46</v>
      </c>
      <c r="U6" s="3" t="s">
        <v>46</v>
      </c>
      <c r="V6" s="123" t="s">
        <v>10</v>
      </c>
      <c r="W6" s="123"/>
      <c r="X6" s="123"/>
      <c r="Y6" s="118"/>
      <c r="Z6" s="30"/>
      <c r="AA6" s="123"/>
      <c r="AB6" s="118"/>
      <c r="AC6" s="123" t="s">
        <v>10</v>
      </c>
      <c r="AD6" s="118"/>
      <c r="AF6" s="16"/>
      <c r="AG6" s="31"/>
      <c r="AH6" s="100"/>
      <c r="AI6" s="99"/>
      <c r="AJ6" s="100"/>
      <c r="AK6" s="31" t="s">
        <v>40</v>
      </c>
      <c r="AL6" s="31" t="s">
        <v>18</v>
      </c>
      <c r="AM6" s="31"/>
      <c r="AN6" s="2" t="s">
        <v>46</v>
      </c>
      <c r="AO6" s="100" t="s">
        <v>18</v>
      </c>
      <c r="AP6" s="99" t="s">
        <v>18</v>
      </c>
      <c r="AQ6" s="99"/>
      <c r="AR6" s="100"/>
      <c r="AS6" s="1" t="s">
        <v>46</v>
      </c>
      <c r="AT6" s="31" t="s">
        <v>38</v>
      </c>
      <c r="AU6" s="31" t="s">
        <v>18</v>
      </c>
      <c r="AV6" s="55" t="s">
        <v>10</v>
      </c>
      <c r="AW6" s="100"/>
      <c r="AX6" s="31"/>
      <c r="AY6" s="32"/>
      <c r="AZ6" s="31"/>
      <c r="BA6" s="42" t="s">
        <v>46</v>
      </c>
      <c r="BB6" s="6"/>
      <c r="BC6" s="18"/>
      <c r="BD6" s="7"/>
      <c r="BE6" s="7"/>
      <c r="BF6" s="7"/>
      <c r="BG6" s="7"/>
      <c r="BH6" s="7"/>
      <c r="BI6" s="7"/>
    </row>
    <row r="7" spans="1:79">
      <c r="A7" s="43">
        <v>1</v>
      </c>
      <c r="B7" s="43">
        <f>A7+1</f>
        <v>2</v>
      </c>
      <c r="C7" s="43">
        <f t="shared" ref="C7:BK7" si="0">B7+1</f>
        <v>3</v>
      </c>
      <c r="D7" s="43">
        <f t="shared" si="0"/>
        <v>4</v>
      </c>
      <c r="E7" s="43">
        <f t="shared" si="0"/>
        <v>5</v>
      </c>
      <c r="F7" s="43">
        <f t="shared" si="0"/>
        <v>6</v>
      </c>
      <c r="G7" s="43">
        <f t="shared" si="0"/>
        <v>7</v>
      </c>
      <c r="H7" s="43">
        <f t="shared" si="0"/>
        <v>8</v>
      </c>
      <c r="I7" s="43">
        <f t="shared" si="0"/>
        <v>9</v>
      </c>
      <c r="J7" s="43">
        <f t="shared" si="0"/>
        <v>10</v>
      </c>
      <c r="K7" s="43">
        <f t="shared" si="0"/>
        <v>11</v>
      </c>
      <c r="L7" s="43">
        <f t="shared" si="0"/>
        <v>12</v>
      </c>
      <c r="M7" s="43">
        <f t="shared" si="0"/>
        <v>13</v>
      </c>
      <c r="N7" s="43">
        <f t="shared" si="0"/>
        <v>14</v>
      </c>
      <c r="O7" s="43">
        <f t="shared" si="0"/>
        <v>15</v>
      </c>
      <c r="P7" s="43">
        <f t="shared" si="0"/>
        <v>16</v>
      </c>
      <c r="Q7" s="43">
        <f t="shared" si="0"/>
        <v>17</v>
      </c>
      <c r="R7" s="43">
        <f t="shared" si="0"/>
        <v>18</v>
      </c>
      <c r="S7" s="43">
        <f t="shared" si="0"/>
        <v>19</v>
      </c>
      <c r="T7" s="43">
        <f t="shared" si="0"/>
        <v>20</v>
      </c>
      <c r="U7" s="43">
        <f t="shared" si="0"/>
        <v>21</v>
      </c>
      <c r="V7" s="43">
        <f t="shared" si="0"/>
        <v>22</v>
      </c>
      <c r="W7" s="43">
        <f t="shared" si="0"/>
        <v>23</v>
      </c>
      <c r="X7" s="43">
        <f t="shared" si="0"/>
        <v>24</v>
      </c>
      <c r="Y7" s="43">
        <f t="shared" si="0"/>
        <v>25</v>
      </c>
      <c r="Z7" s="43">
        <f t="shared" si="0"/>
        <v>26</v>
      </c>
      <c r="AA7" s="43">
        <f t="shared" si="0"/>
        <v>27</v>
      </c>
      <c r="AB7" s="43">
        <f t="shared" si="0"/>
        <v>28</v>
      </c>
      <c r="AC7" s="43">
        <f t="shared" si="0"/>
        <v>29</v>
      </c>
      <c r="AD7" s="43">
        <f t="shared" si="0"/>
        <v>30</v>
      </c>
      <c r="AE7" s="43">
        <f t="shared" si="0"/>
        <v>31</v>
      </c>
      <c r="AF7" s="43">
        <f t="shared" si="0"/>
        <v>32</v>
      </c>
      <c r="AG7" s="43">
        <f t="shared" si="0"/>
        <v>33</v>
      </c>
      <c r="AH7" s="43">
        <f t="shared" si="0"/>
        <v>34</v>
      </c>
      <c r="AI7" s="43">
        <f t="shared" si="0"/>
        <v>35</v>
      </c>
      <c r="AJ7" s="43">
        <f t="shared" si="0"/>
        <v>36</v>
      </c>
      <c r="AK7" s="43">
        <f t="shared" si="0"/>
        <v>37</v>
      </c>
      <c r="AL7" s="43">
        <f t="shared" si="0"/>
        <v>38</v>
      </c>
      <c r="AM7" s="43">
        <f t="shared" si="0"/>
        <v>39</v>
      </c>
      <c r="AN7" s="43">
        <f t="shared" si="0"/>
        <v>40</v>
      </c>
      <c r="AO7" s="43">
        <f t="shared" si="0"/>
        <v>41</v>
      </c>
      <c r="AP7" s="43">
        <f t="shared" si="0"/>
        <v>42</v>
      </c>
      <c r="AQ7" s="43">
        <f t="shared" si="0"/>
        <v>43</v>
      </c>
      <c r="AR7" s="43">
        <f t="shared" si="0"/>
        <v>44</v>
      </c>
      <c r="AS7" s="43">
        <f t="shared" si="0"/>
        <v>45</v>
      </c>
      <c r="AT7" s="43">
        <f t="shared" si="0"/>
        <v>46</v>
      </c>
      <c r="AU7" s="43">
        <f t="shared" si="0"/>
        <v>47</v>
      </c>
      <c r="AV7" s="43">
        <f t="shared" si="0"/>
        <v>48</v>
      </c>
      <c r="AW7" s="43">
        <f t="shared" si="0"/>
        <v>49</v>
      </c>
      <c r="AX7" s="43">
        <f t="shared" si="0"/>
        <v>50</v>
      </c>
      <c r="AY7" s="43">
        <f t="shared" si="0"/>
        <v>51</v>
      </c>
      <c r="AZ7" s="43">
        <f t="shared" si="0"/>
        <v>52</v>
      </c>
      <c r="BA7" s="43">
        <f t="shared" si="0"/>
        <v>53</v>
      </c>
      <c r="BB7" s="43">
        <f t="shared" si="0"/>
        <v>54</v>
      </c>
      <c r="BC7" s="43">
        <f t="shared" si="0"/>
        <v>55</v>
      </c>
      <c r="BD7" s="43">
        <f t="shared" si="0"/>
        <v>56</v>
      </c>
      <c r="BE7" s="43">
        <f t="shared" si="0"/>
        <v>57</v>
      </c>
      <c r="BF7" s="43">
        <f t="shared" si="0"/>
        <v>58</v>
      </c>
      <c r="BG7" s="43">
        <f t="shared" si="0"/>
        <v>59</v>
      </c>
      <c r="BH7" s="43">
        <f t="shared" si="0"/>
        <v>60</v>
      </c>
      <c r="BI7" s="43">
        <f t="shared" si="0"/>
        <v>61</v>
      </c>
      <c r="BJ7" s="43">
        <f t="shared" si="0"/>
        <v>62</v>
      </c>
      <c r="BK7" s="43">
        <f t="shared" si="0"/>
        <v>63</v>
      </c>
      <c r="BL7" s="43">
        <f t="shared" ref="BL7" si="1">BK7+1</f>
        <v>64</v>
      </c>
      <c r="BM7" s="43">
        <f t="shared" ref="BM7" si="2">BL7+1</f>
        <v>65</v>
      </c>
      <c r="BN7" s="43">
        <f t="shared" ref="BN7" si="3">BM7+1</f>
        <v>66</v>
      </c>
      <c r="BO7" s="43">
        <f t="shared" ref="BO7" si="4">BN7+1</f>
        <v>67</v>
      </c>
      <c r="BP7" s="43">
        <f t="shared" ref="BP7" si="5">BO7+1</f>
        <v>68</v>
      </c>
      <c r="BQ7" s="43">
        <f t="shared" ref="BQ7" si="6">BP7+1</f>
        <v>69</v>
      </c>
      <c r="BR7" s="43">
        <f t="shared" ref="BR7" si="7">BQ7+1</f>
        <v>70</v>
      </c>
      <c r="BS7" s="43">
        <f t="shared" ref="BS7" si="8">BR7+1</f>
        <v>71</v>
      </c>
      <c r="BT7" s="43">
        <f t="shared" ref="BT7" si="9">BS7+1</f>
        <v>72</v>
      </c>
      <c r="BU7" s="43">
        <f t="shared" ref="BU7" si="10">BT7+1</f>
        <v>73</v>
      </c>
      <c r="BV7" s="43">
        <f t="shared" ref="BV7" si="11">BU7+1</f>
        <v>74</v>
      </c>
    </row>
    <row r="8" spans="1:79">
      <c r="A8" s="8">
        <v>40179</v>
      </c>
      <c r="B8" s="63">
        <v>26219616.960000001</v>
      </c>
      <c r="C8" s="63">
        <v>3282539.47</v>
      </c>
      <c r="D8" s="63">
        <v>793422.62</v>
      </c>
      <c r="E8" s="63">
        <v>0</v>
      </c>
      <c r="F8" s="63">
        <v>154185.99</v>
      </c>
      <c r="G8" s="63">
        <v>2019.9</v>
      </c>
      <c r="H8" s="63">
        <v>0</v>
      </c>
      <c r="I8" s="63">
        <v>152166.09</v>
      </c>
      <c r="J8" s="63">
        <v>36780.06</v>
      </c>
      <c r="K8" s="63">
        <v>506340.13</v>
      </c>
      <c r="L8" s="63">
        <v>56715.6</v>
      </c>
      <c r="M8" s="63">
        <v>2200891.6800000002</v>
      </c>
      <c r="N8" s="63">
        <v>6019829</v>
      </c>
      <c r="O8" s="63">
        <v>5829812</v>
      </c>
      <c r="P8" s="63">
        <v>0</v>
      </c>
      <c r="Q8" s="63">
        <v>0</v>
      </c>
      <c r="R8" s="63">
        <v>0</v>
      </c>
      <c r="S8" s="63">
        <v>3785931.01</v>
      </c>
      <c r="T8" s="63">
        <v>1314.53</v>
      </c>
      <c r="U8" s="63">
        <v>0</v>
      </c>
      <c r="V8" s="63">
        <v>1560937.63</v>
      </c>
      <c r="W8" s="63">
        <v>0</v>
      </c>
      <c r="X8" s="63">
        <v>0</v>
      </c>
      <c r="Y8" s="63">
        <v>0</v>
      </c>
      <c r="Z8" s="63">
        <v>10010527.74</v>
      </c>
      <c r="AA8" s="63">
        <v>7993476.1799999997</v>
      </c>
      <c r="AB8" s="63">
        <v>334420.43</v>
      </c>
      <c r="AC8" s="63">
        <v>0</v>
      </c>
      <c r="AD8" s="63">
        <v>0</v>
      </c>
      <c r="AE8" s="63">
        <v>0</v>
      </c>
      <c r="AF8" s="63">
        <v>0</v>
      </c>
      <c r="AG8" s="62">
        <v>1413979000</v>
      </c>
      <c r="AH8" s="62">
        <v>157978000</v>
      </c>
      <c r="AI8" s="62">
        <v>19379000</v>
      </c>
      <c r="AJ8" s="62">
        <v>21040000</v>
      </c>
      <c r="AK8" s="62">
        <v>133226000</v>
      </c>
      <c r="AL8" s="62">
        <v>2362420</v>
      </c>
      <c r="AM8" s="62">
        <v>0</v>
      </c>
      <c r="AN8" s="63">
        <v>0</v>
      </c>
      <c r="AO8" s="62">
        <v>41000</v>
      </c>
      <c r="AP8" s="62">
        <v>49202000</v>
      </c>
      <c r="AQ8" s="62">
        <v>0</v>
      </c>
      <c r="AR8" s="62">
        <v>0</v>
      </c>
      <c r="AS8" s="63">
        <v>0</v>
      </c>
      <c r="AT8" s="62">
        <v>432311000</v>
      </c>
      <c r="AU8" s="62">
        <v>378732000</v>
      </c>
      <c r="AV8" s="62">
        <v>0</v>
      </c>
      <c r="AW8" s="62">
        <v>0</v>
      </c>
      <c r="AX8" s="62">
        <v>1058854478</v>
      </c>
      <c r="AY8" s="65">
        <v>4.6300000000000001E-2</v>
      </c>
      <c r="AZ8" s="64">
        <v>2.0580000000000001E-2</v>
      </c>
      <c r="BA8" s="15">
        <v>1.1399999999999987E-3</v>
      </c>
      <c r="BB8" s="12">
        <v>22204048.4487</v>
      </c>
      <c r="BC8" s="45">
        <v>1022473768</v>
      </c>
      <c r="BD8" s="51"/>
      <c r="BE8" s="51"/>
      <c r="BF8" s="61">
        <v>28248168.200000003</v>
      </c>
      <c r="BG8" s="66">
        <v>3785931.01</v>
      </c>
      <c r="BH8" s="66">
        <v>10027354.0513</v>
      </c>
      <c r="BI8" s="49">
        <v>-197303.29000000004</v>
      </c>
      <c r="BJ8" s="60">
        <v>1072</v>
      </c>
      <c r="BK8" s="60">
        <v>0</v>
      </c>
      <c r="BY8" s="85"/>
      <c r="BZ8" s="13"/>
    </row>
    <row r="9" spans="1:79">
      <c r="A9" s="8">
        <v>40210</v>
      </c>
      <c r="B9" s="12">
        <v>28095295.859999999</v>
      </c>
      <c r="C9" s="12">
        <v>5708514.8600000003</v>
      </c>
      <c r="D9" s="12">
        <v>1483779.3</v>
      </c>
      <c r="E9" s="12">
        <v>0</v>
      </c>
      <c r="F9" s="12">
        <v>497808.93</v>
      </c>
      <c r="G9" s="12">
        <v>128.24</v>
      </c>
      <c r="H9" s="12">
        <v>0</v>
      </c>
      <c r="I9" s="12">
        <v>497680.69</v>
      </c>
      <c r="J9" s="12">
        <v>127351.6</v>
      </c>
      <c r="K9" s="12">
        <v>439780.85</v>
      </c>
      <c r="L9" s="12">
        <v>57910.080000000002</v>
      </c>
      <c r="M9" s="12">
        <v>379019.71</v>
      </c>
      <c r="N9" s="12">
        <v>1849277</v>
      </c>
      <c r="O9" s="12">
        <v>1780376</v>
      </c>
      <c r="P9" s="12">
        <v>0</v>
      </c>
      <c r="Q9" s="12">
        <v>0</v>
      </c>
      <c r="R9" s="12">
        <v>0</v>
      </c>
      <c r="S9" s="12">
        <v>5216432.26</v>
      </c>
      <c r="T9" s="12">
        <v>0</v>
      </c>
      <c r="U9" s="12">
        <v>0</v>
      </c>
      <c r="V9" s="12">
        <v>3895477.74</v>
      </c>
      <c r="W9" s="12">
        <v>0</v>
      </c>
      <c r="X9" s="12">
        <v>0</v>
      </c>
      <c r="Y9" s="12">
        <v>0</v>
      </c>
      <c r="Z9" s="12">
        <v>13731840.43</v>
      </c>
      <c r="AA9" s="12">
        <v>8763876.4399999995</v>
      </c>
      <c r="AB9" s="12">
        <v>736376.57</v>
      </c>
      <c r="AC9" s="12">
        <v>0</v>
      </c>
      <c r="AD9" s="12">
        <v>0</v>
      </c>
      <c r="AE9" s="12">
        <v>0</v>
      </c>
      <c r="AF9" s="12">
        <v>0</v>
      </c>
      <c r="AG9" s="13">
        <v>1440560000</v>
      </c>
      <c r="AH9" s="13">
        <v>275579000</v>
      </c>
      <c r="AI9" s="13">
        <v>31816000</v>
      </c>
      <c r="AJ9" s="13">
        <v>37213000</v>
      </c>
      <c r="AK9" s="13">
        <v>200955000</v>
      </c>
      <c r="AL9" s="13">
        <v>427775</v>
      </c>
      <c r="AM9" s="13">
        <v>0</v>
      </c>
      <c r="AN9" s="12">
        <v>0</v>
      </c>
      <c r="AO9" s="13">
        <v>0</v>
      </c>
      <c r="AP9" s="13">
        <v>134715000</v>
      </c>
      <c r="AQ9" s="13">
        <v>0</v>
      </c>
      <c r="AR9" s="13">
        <v>0</v>
      </c>
      <c r="AS9" s="12">
        <v>0</v>
      </c>
      <c r="AT9" s="13">
        <v>609988000</v>
      </c>
      <c r="AU9" s="13">
        <v>461264000</v>
      </c>
      <c r="AV9" s="13">
        <v>0</v>
      </c>
      <c r="AW9" s="13">
        <v>0</v>
      </c>
      <c r="AX9" s="13">
        <v>970824261</v>
      </c>
      <c r="AY9" s="14">
        <v>3.6799999999999999E-2</v>
      </c>
      <c r="AZ9" s="47">
        <v>2.0580000000000001E-2</v>
      </c>
      <c r="BA9" s="15">
        <v>2.8999999999999859E-4</v>
      </c>
      <c r="BB9" s="12">
        <v>19343091.825800005</v>
      </c>
      <c r="BC9" s="45">
        <v>926666041</v>
      </c>
      <c r="BF9" s="44">
        <v>27899581.780000005</v>
      </c>
      <c r="BG9" s="66">
        <v>5216432.26</v>
      </c>
      <c r="BH9" s="44">
        <v>13774156.304199999</v>
      </c>
      <c r="BI9" s="49">
        <v>-1234.0899999999965</v>
      </c>
      <c r="BJ9" s="60">
        <v>954</v>
      </c>
      <c r="BK9" s="60">
        <v>0</v>
      </c>
      <c r="BY9" s="85"/>
      <c r="BZ9" s="13"/>
    </row>
    <row r="10" spans="1:79">
      <c r="A10" s="8">
        <v>40238</v>
      </c>
      <c r="B10" s="12">
        <v>24673810.010000002</v>
      </c>
      <c r="C10" s="12">
        <v>7244740.0700000003</v>
      </c>
      <c r="D10" s="12">
        <v>1759747.36</v>
      </c>
      <c r="E10" s="12">
        <v>0</v>
      </c>
      <c r="F10" s="12">
        <v>1036954.67</v>
      </c>
      <c r="G10" s="12">
        <v>0</v>
      </c>
      <c r="H10" s="12">
        <v>0</v>
      </c>
      <c r="I10" s="12">
        <v>1036954.67</v>
      </c>
      <c r="J10" s="12">
        <v>251876.29</v>
      </c>
      <c r="K10" s="12">
        <v>487293.95</v>
      </c>
      <c r="L10" s="12">
        <v>56054.53</v>
      </c>
      <c r="M10" s="12">
        <v>328005.14</v>
      </c>
      <c r="N10" s="12">
        <v>1486787</v>
      </c>
      <c r="O10" s="12">
        <v>1178146</v>
      </c>
      <c r="P10" s="12">
        <v>15018</v>
      </c>
      <c r="Q10" s="12">
        <f t="shared" ref="Q10:Q34" si="12">IF((O10+P10)&gt;N10,N10-O10-P10,0)</f>
        <v>0</v>
      </c>
      <c r="R10" s="12">
        <v>0</v>
      </c>
      <c r="S10" s="12">
        <v>2309322.15</v>
      </c>
      <c r="T10" s="12">
        <v>0</v>
      </c>
      <c r="U10" s="12">
        <v>0</v>
      </c>
      <c r="V10" s="12">
        <v>996315.52</v>
      </c>
      <c r="W10" s="12">
        <v>0</v>
      </c>
      <c r="X10" s="12">
        <v>0</v>
      </c>
      <c r="Y10" s="12">
        <v>0</v>
      </c>
      <c r="Z10" s="12">
        <v>7377484.6399999997</v>
      </c>
      <c r="AA10" s="12">
        <v>6123135.9100000001</v>
      </c>
      <c r="AB10" s="12">
        <v>172564.82</v>
      </c>
      <c r="AC10" s="12">
        <v>0</v>
      </c>
      <c r="AD10" s="12">
        <v>0</v>
      </c>
      <c r="AE10" s="12">
        <v>0</v>
      </c>
      <c r="AF10" s="12">
        <v>0</v>
      </c>
      <c r="AG10" s="13">
        <v>1250420000</v>
      </c>
      <c r="AH10" s="13">
        <v>347797000</v>
      </c>
      <c r="AI10" s="13">
        <v>40405000</v>
      </c>
      <c r="AJ10" s="13">
        <v>46141000</v>
      </c>
      <c r="AK10" s="13">
        <v>105074000</v>
      </c>
      <c r="AL10" s="13">
        <v>0</v>
      </c>
      <c r="AM10" s="13">
        <v>0</v>
      </c>
      <c r="AN10" s="12">
        <v>0</v>
      </c>
      <c r="AO10" s="13">
        <v>0</v>
      </c>
      <c r="AP10" s="13">
        <v>34646000</v>
      </c>
      <c r="AQ10" s="13">
        <v>0</v>
      </c>
      <c r="AR10" s="13">
        <v>0</v>
      </c>
      <c r="AS10" s="12">
        <v>0</v>
      </c>
      <c r="AT10" s="13">
        <v>356336000</v>
      </c>
      <c r="AU10" s="13">
        <v>317594000</v>
      </c>
      <c r="AV10" s="13">
        <v>0</v>
      </c>
      <c r="AW10" s="13">
        <v>0</v>
      </c>
      <c r="AX10" s="13">
        <v>942742131</v>
      </c>
      <c r="AY10" s="14">
        <v>3.4500000000000003E-2</v>
      </c>
      <c r="AZ10" s="47">
        <v>2.0580000000000001E-2</v>
      </c>
      <c r="BA10" s="15">
        <f t="shared" ref="BA10:BA15" si="13">ROUND(BB10/BC10,5)-AZ10</f>
        <v>1.5699999999999985E-3</v>
      </c>
      <c r="BB10" s="12">
        <f t="shared" ref="BB10:BB13" si="14">BF10+BG10-BH10-BI10+SUM(AE10:AF10)</f>
        <v>19512593.7009</v>
      </c>
      <c r="BC10" s="45">
        <f t="shared" ref="BC10:BC11" si="15">SUM(AG10,-AI10,-AJ10,AK10,-AL10)-AT10-ROUND((SUM(AG10,-AI10,-AJ10,AK10,-AT10,-AL10)*AY10),0)</f>
        <v>881126886</v>
      </c>
      <c r="BF10" s="44">
        <f t="shared" ref="BF10:BF11" si="16">ROUND(B10-(C10*(IF(AH10=0,0,ROUND((AI10+AJ10+((AI10+AJ10)*0.01))/AH10,5)))),2)+F10-G10+H10-SUM(IF(AH10=0,0,ROUND(I10*ROUND((AI10+AJ10+((AI10+AJ10)*0.01))/AH10,5),2)))+SUM(K10:M10)+Q10</f>
        <v>24500679.960000001</v>
      </c>
      <c r="BG10" s="66">
        <f t="shared" ref="BG10:BG24" si="17">S10-R10</f>
        <v>2309322.15</v>
      </c>
      <c r="BH10" s="44">
        <f t="shared" ref="BH10:BH34" si="18">Z10+((Z10-AA10-AB10-AC10-AD10)*0.01)</f>
        <v>7388302.4791000001</v>
      </c>
      <c r="BI10" s="49">
        <f t="shared" ref="BI10:BI19" si="19">IF(BD8="",ROUND((AX10-AL10)*BA8,2)-ROUND(BC8*BA8,2),ROUND((BA8-AL10)*AX10,2)-ROUND(BC8*BD8,2))</f>
        <v>-90894.070000000065</v>
      </c>
      <c r="BJ10" s="60">
        <v>496</v>
      </c>
      <c r="BK10" s="60">
        <v>0</v>
      </c>
      <c r="BY10" s="85"/>
      <c r="BZ10" s="13"/>
    </row>
    <row r="11" spans="1:79">
      <c r="A11" s="8">
        <v>40269</v>
      </c>
      <c r="B11" s="12">
        <v>27196305.760000002</v>
      </c>
      <c r="C11" s="12">
        <v>7203310.79</v>
      </c>
      <c r="D11" s="12">
        <v>1844839.92</v>
      </c>
      <c r="E11" s="12">
        <v>0</v>
      </c>
      <c r="F11" s="12">
        <v>493237.98</v>
      </c>
      <c r="G11" s="12">
        <v>0</v>
      </c>
      <c r="H11" s="12">
        <v>0</v>
      </c>
      <c r="I11" s="12">
        <v>493237.98</v>
      </c>
      <c r="J11" s="12">
        <v>126323.18</v>
      </c>
      <c r="K11" s="12">
        <v>436465.65</v>
      </c>
      <c r="L11" s="12">
        <v>105519.49</v>
      </c>
      <c r="M11" s="12">
        <f>454653.08+88960.84</f>
        <v>543613.92000000004</v>
      </c>
      <c r="N11" s="12">
        <v>2098457</v>
      </c>
      <c r="O11" s="12">
        <v>1210276</v>
      </c>
      <c r="P11" s="12">
        <v>8250</v>
      </c>
      <c r="Q11" s="12">
        <f t="shared" si="12"/>
        <v>0</v>
      </c>
      <c r="R11" s="12">
        <v>0</v>
      </c>
      <c r="S11" s="12">
        <v>2107600.04</v>
      </c>
      <c r="T11" s="12">
        <v>0</v>
      </c>
      <c r="U11" s="12">
        <v>0</v>
      </c>
      <c r="V11" s="12">
        <v>556113.43000000005</v>
      </c>
      <c r="W11" s="12">
        <v>0</v>
      </c>
      <c r="X11" s="12">
        <v>0</v>
      </c>
      <c r="Y11" s="12">
        <v>0</v>
      </c>
      <c r="Z11" s="12">
        <v>10337318.57</v>
      </c>
      <c r="AA11" s="12">
        <v>9650455.3800000008</v>
      </c>
      <c r="AB11" s="12">
        <v>99474.83</v>
      </c>
      <c r="AC11" s="12">
        <v>0</v>
      </c>
      <c r="AD11" s="12">
        <v>241.85</v>
      </c>
      <c r="AE11" s="12">
        <v>0</v>
      </c>
      <c r="AF11" s="12">
        <v>0</v>
      </c>
      <c r="AG11" s="13">
        <v>1409834000</v>
      </c>
      <c r="AH11" s="13">
        <v>337395000</v>
      </c>
      <c r="AI11" s="13">
        <v>41238000</v>
      </c>
      <c r="AJ11" s="13">
        <v>45889000</v>
      </c>
      <c r="AK11" s="13">
        <v>83292000</v>
      </c>
      <c r="AL11" s="13">
        <v>0</v>
      </c>
      <c r="AM11" s="13">
        <v>0</v>
      </c>
      <c r="AN11" s="12">
        <v>0</v>
      </c>
      <c r="AO11" s="13">
        <v>0</v>
      </c>
      <c r="AP11" s="13">
        <v>20379000</v>
      </c>
      <c r="AQ11" s="13">
        <v>0</v>
      </c>
      <c r="AR11" s="13">
        <v>0</v>
      </c>
      <c r="AS11" s="12">
        <v>0</v>
      </c>
      <c r="AT11" s="13">
        <v>526996000</v>
      </c>
      <c r="AU11" s="13">
        <v>505251000</v>
      </c>
      <c r="AV11" s="13">
        <v>0</v>
      </c>
      <c r="AW11" s="13">
        <v>11000</v>
      </c>
      <c r="AX11" s="13">
        <v>866161705</v>
      </c>
      <c r="AY11" s="14">
        <v>3.7999999999999999E-2</v>
      </c>
      <c r="AZ11" s="47">
        <v>2.0580000000000001E-2</v>
      </c>
      <c r="BA11" s="15">
        <f t="shared" si="13"/>
        <v>1.3600000000000001E-3</v>
      </c>
      <c r="BB11" s="12">
        <f t="shared" si="14"/>
        <v>18549685.214899998</v>
      </c>
      <c r="BC11" s="45">
        <f t="shared" si="15"/>
        <v>845600886</v>
      </c>
      <c r="BF11" s="44">
        <f t="shared" si="16"/>
        <v>26767728.949999999</v>
      </c>
      <c r="BG11" s="66">
        <f t="shared" si="17"/>
        <v>2107600.04</v>
      </c>
      <c r="BH11" s="44">
        <f t="shared" si="18"/>
        <v>10343190.0351</v>
      </c>
      <c r="BI11" s="49">
        <f t="shared" si="19"/>
        <v>-17546.260000000009</v>
      </c>
      <c r="BJ11" s="60">
        <v>151</v>
      </c>
      <c r="BK11" s="60">
        <v>56</v>
      </c>
      <c r="BY11" s="85"/>
      <c r="BZ11" s="13"/>
    </row>
    <row r="12" spans="1:79">
      <c r="A12" s="8">
        <v>40299</v>
      </c>
      <c r="B12" s="12">
        <v>28216699.670000002</v>
      </c>
      <c r="C12" s="12">
        <v>5999713.9299999997</v>
      </c>
      <c r="D12" s="12">
        <v>1546867.95</v>
      </c>
      <c r="E12" s="69">
        <v>0</v>
      </c>
      <c r="F12" s="12">
        <v>374699.21</v>
      </c>
      <c r="G12" s="12">
        <v>0</v>
      </c>
      <c r="H12" s="12">
        <v>233.36</v>
      </c>
      <c r="I12" s="12">
        <v>374699.21</v>
      </c>
      <c r="J12" s="12">
        <v>94972.3</v>
      </c>
      <c r="K12" s="12">
        <v>445495.6</v>
      </c>
      <c r="L12" s="12">
        <v>142051.71</v>
      </c>
      <c r="M12" s="12">
        <f>1445134.47+156297.38</f>
        <v>1601431.85</v>
      </c>
      <c r="N12" s="12">
        <v>2118371</v>
      </c>
      <c r="O12" s="12">
        <v>1945626</v>
      </c>
      <c r="P12" s="12">
        <v>79499</v>
      </c>
      <c r="Q12" s="12">
        <f t="shared" si="12"/>
        <v>0</v>
      </c>
      <c r="R12" s="12">
        <v>0</v>
      </c>
      <c r="S12" s="12">
        <v>2739885.8</v>
      </c>
      <c r="T12" s="12">
        <v>28122.38</v>
      </c>
      <c r="U12" s="12">
        <v>32.26</v>
      </c>
      <c r="V12" s="12">
        <v>1045136.48</v>
      </c>
      <c r="W12" s="69">
        <v>0</v>
      </c>
      <c r="X12" s="69">
        <v>0</v>
      </c>
      <c r="Y12" s="69">
        <v>0</v>
      </c>
      <c r="Z12" s="12">
        <v>9006440.2799999993</v>
      </c>
      <c r="AA12" s="12">
        <v>7533053.6100000003</v>
      </c>
      <c r="AB12" s="12">
        <v>205021.56</v>
      </c>
      <c r="AC12" s="12">
        <v>330.68</v>
      </c>
      <c r="AD12" s="12">
        <v>0</v>
      </c>
      <c r="AE12" s="69">
        <v>0</v>
      </c>
      <c r="AF12" s="69">
        <v>0</v>
      </c>
      <c r="AG12" s="13">
        <v>1414078000</v>
      </c>
      <c r="AH12" s="13">
        <v>271813000</v>
      </c>
      <c r="AI12" s="13">
        <v>34308000</v>
      </c>
      <c r="AJ12" s="13">
        <v>37207000</v>
      </c>
      <c r="AK12" s="13">
        <v>102505000</v>
      </c>
      <c r="AL12" s="13">
        <v>0</v>
      </c>
      <c r="AM12" s="69">
        <v>0</v>
      </c>
      <c r="AN12" s="69">
        <v>0</v>
      </c>
      <c r="AO12" s="13">
        <v>650000</v>
      </c>
      <c r="AP12" s="13">
        <v>39331000</v>
      </c>
      <c r="AQ12" s="69">
        <v>0</v>
      </c>
      <c r="AR12" s="69">
        <v>0</v>
      </c>
      <c r="AS12" s="69">
        <v>0</v>
      </c>
      <c r="AT12" s="13">
        <v>405654000</v>
      </c>
      <c r="AU12" s="13">
        <v>358849000</v>
      </c>
      <c r="AV12" s="13">
        <v>6000</v>
      </c>
      <c r="AW12" s="13">
        <v>0</v>
      </c>
      <c r="AX12" s="13">
        <v>847304908</v>
      </c>
      <c r="AY12" s="14">
        <v>2.5700000000000001E-2</v>
      </c>
      <c r="AZ12" s="47">
        <v>2.0580000000000001E-2</v>
      </c>
      <c r="BA12" s="15">
        <f t="shared" si="13"/>
        <v>1.9899999999999987E-3</v>
      </c>
      <c r="BB12" s="12">
        <f t="shared" si="14"/>
        <v>22860604.275700003</v>
      </c>
      <c r="BC12" s="45">
        <f t="shared" ref="BC12:BC24" si="20">SUM(AG12,-AI12,-AJ12,AK12,-AL12)-AT12-ROUND((SUM(AG12,-AI12,-AJ12,AK12,-AT12,-AL12)*AY12),0)</f>
        <v>1012701060</v>
      </c>
      <c r="BD12" s="12"/>
      <c r="BE12" s="12"/>
      <c r="BF12" s="44">
        <f t="shared" ref="BF12:BF24" si="21">ROUND(B12-(C12*(IF(AH12=0,0,ROUND((AI12+AJ12+((AI12+AJ12)*0.01))/AH12,5)))),2)+F12-G12+H12-SUM(IF(AH12=0,0,ROUND(I12*ROUND((AI12+AJ12+((AI12+AJ12)*0.01))/AH12,5),2)))+SUM(K12:M12)+Q12</f>
        <v>29086738.600000001</v>
      </c>
      <c r="BG12" s="66">
        <f t="shared" si="17"/>
        <v>2739885.8</v>
      </c>
      <c r="BH12" s="44">
        <f t="shared" si="18"/>
        <v>9019120.6242999993</v>
      </c>
      <c r="BI12" s="49">
        <f t="shared" si="19"/>
        <v>-53100.5</v>
      </c>
      <c r="BJ12" s="60">
        <v>49</v>
      </c>
      <c r="BK12" s="60">
        <v>181</v>
      </c>
      <c r="BL12" s="13">
        <v>28000</v>
      </c>
      <c r="BM12" s="13">
        <v>31426</v>
      </c>
      <c r="BN12" s="13">
        <v>156753034</v>
      </c>
      <c r="BO12" s="13">
        <v>-30038000</v>
      </c>
      <c r="BR12" s="81">
        <f>SUM(AG12,AK12,BO12,BP12)-SUM(AI12,AJ12,AT12,AX12,BL12,BM12,BN12,BQ12)</f>
        <v>5258632</v>
      </c>
      <c r="BT12" s="81">
        <f t="shared" ref="BT12:BT34" si="22">SUM(AG12, AK12,BO12,BP12)-SUM(AI12,AJ12,AT12,BQ12)</f>
        <v>1009376000</v>
      </c>
      <c r="BY12" s="85"/>
      <c r="BZ12" s="13"/>
    </row>
    <row r="13" spans="1:79">
      <c r="A13" s="8">
        <v>40330</v>
      </c>
      <c r="B13" s="68">
        <v>29769192.75</v>
      </c>
      <c r="C13" s="68">
        <v>5757236.9800000004</v>
      </c>
      <c r="D13" s="68">
        <v>1546623.57</v>
      </c>
      <c r="E13" s="68">
        <v>0</v>
      </c>
      <c r="F13" s="68">
        <v>575354.4</v>
      </c>
      <c r="G13" s="68">
        <v>0</v>
      </c>
      <c r="H13" s="68">
        <v>126814.31</v>
      </c>
      <c r="I13" s="68">
        <v>575354.4</v>
      </c>
      <c r="J13" s="68">
        <v>148876.18</v>
      </c>
      <c r="K13" s="68">
        <v>398694.47</v>
      </c>
      <c r="L13" s="68">
        <v>290003.78000000003</v>
      </c>
      <c r="M13" s="68">
        <f>2491509.51+380169.99</f>
        <v>2871679.5</v>
      </c>
      <c r="N13" s="68">
        <v>2083437</v>
      </c>
      <c r="O13" s="68">
        <v>1855414</v>
      </c>
      <c r="P13" s="68">
        <v>461744</v>
      </c>
      <c r="Q13" s="12">
        <f t="shared" si="12"/>
        <v>-233721</v>
      </c>
      <c r="R13" s="68">
        <v>0</v>
      </c>
      <c r="S13" s="68">
        <v>2963263.36</v>
      </c>
      <c r="T13" s="68">
        <v>196225.75</v>
      </c>
      <c r="U13" s="68">
        <v>31.14</v>
      </c>
      <c r="V13" s="68">
        <v>165881.89000000001</v>
      </c>
      <c r="W13" s="68">
        <v>0</v>
      </c>
      <c r="X13" s="68">
        <v>0</v>
      </c>
      <c r="Y13" s="68">
        <v>0</v>
      </c>
      <c r="Z13" s="68">
        <v>5451822.6100000003</v>
      </c>
      <c r="AA13" s="68">
        <v>5052133.49</v>
      </c>
      <c r="AB13" s="68">
        <v>120188.95</v>
      </c>
      <c r="AC13" s="68">
        <v>407.49</v>
      </c>
      <c r="AD13" s="68">
        <v>0</v>
      </c>
      <c r="AE13" s="68">
        <v>0</v>
      </c>
      <c r="AF13" s="68">
        <v>0</v>
      </c>
      <c r="AG13" s="13">
        <v>1515263000</v>
      </c>
      <c r="AH13" s="13">
        <v>262804000</v>
      </c>
      <c r="AI13" s="13">
        <v>34057000</v>
      </c>
      <c r="AJ13" s="13">
        <v>36270000</v>
      </c>
      <c r="AK13" s="13">
        <v>97325000</v>
      </c>
      <c r="AL13" s="13">
        <v>124688</v>
      </c>
      <c r="AM13" s="68">
        <v>0</v>
      </c>
      <c r="AN13" s="68">
        <v>0</v>
      </c>
      <c r="AO13" s="13">
        <v>4252000</v>
      </c>
      <c r="AP13" s="13">
        <v>4557000</v>
      </c>
      <c r="AQ13" s="68">
        <v>0</v>
      </c>
      <c r="AR13" s="68">
        <v>0</v>
      </c>
      <c r="AS13" s="68">
        <v>0</v>
      </c>
      <c r="AT13" s="13">
        <v>223429000</v>
      </c>
      <c r="AU13" s="13">
        <v>217108000</v>
      </c>
      <c r="AV13" s="13">
        <v>8000</v>
      </c>
      <c r="AW13" s="13">
        <v>0</v>
      </c>
      <c r="AX13" s="13">
        <v>1162297094</v>
      </c>
      <c r="AY13" s="14">
        <v>3.5200000000000002E-2</v>
      </c>
      <c r="AZ13" s="47">
        <v>2.0580000000000001E-2</v>
      </c>
      <c r="BA13" s="15">
        <f t="shared" si="13"/>
        <v>2.3399999999999983E-3</v>
      </c>
      <c r="BB13" s="12">
        <f t="shared" si="14"/>
        <v>29164557.963199995</v>
      </c>
      <c r="BC13" s="45">
        <f t="shared" si="20"/>
        <v>1272288815</v>
      </c>
      <c r="BD13" s="68"/>
      <c r="BE13" s="68"/>
      <c r="BF13" s="44">
        <f t="shared" si="21"/>
        <v>32086445.409999996</v>
      </c>
      <c r="BG13" s="66">
        <f t="shared" si="17"/>
        <v>2963263.36</v>
      </c>
      <c r="BH13" s="44">
        <f t="shared" si="18"/>
        <v>5454613.5367999999</v>
      </c>
      <c r="BI13" s="49">
        <f t="shared" si="19"/>
        <v>430537.27</v>
      </c>
      <c r="BJ13" s="60">
        <v>0</v>
      </c>
      <c r="BK13" s="60">
        <v>449</v>
      </c>
      <c r="BL13" s="13">
        <v>1037000</v>
      </c>
      <c r="BM13" s="13">
        <f>657491+353874</f>
        <v>1011365</v>
      </c>
      <c r="BN13" s="13">
        <v>147197082</v>
      </c>
      <c r="BO13" s="13">
        <v>23079000</v>
      </c>
      <c r="BP13" s="7">
        <v>21000</v>
      </c>
      <c r="BQ13" s="7">
        <f>630000-429000</f>
        <v>201000</v>
      </c>
      <c r="BR13" s="81">
        <f t="shared" ref="BR13:BR20" si="23">SUM(AG13,AK13,BO13,BP13)-SUM(AI13,AJ13,AT13,AX13,BL13,BM13,BN13,BQ13)</f>
        <v>30188459</v>
      </c>
      <c r="BT13" s="81">
        <f t="shared" si="22"/>
        <v>1341731000</v>
      </c>
      <c r="BY13" s="85"/>
      <c r="BZ13" s="13"/>
      <c r="CA13" s="80"/>
    </row>
    <row r="14" spans="1:79">
      <c r="A14" s="8">
        <v>40360</v>
      </c>
      <c r="B14" s="68">
        <v>33414226.600000001</v>
      </c>
      <c r="C14" s="68">
        <v>7668513.7000000002</v>
      </c>
      <c r="D14" s="68">
        <v>1974564.78</v>
      </c>
      <c r="E14" s="68">
        <v>0</v>
      </c>
      <c r="F14" s="68">
        <v>52929.21</v>
      </c>
      <c r="G14" s="68">
        <v>0</v>
      </c>
      <c r="H14" s="68">
        <v>0</v>
      </c>
      <c r="I14" s="68">
        <v>52929.21</v>
      </c>
      <c r="J14" s="68">
        <v>13627.37</v>
      </c>
      <c r="K14" s="68">
        <v>428591.81</v>
      </c>
      <c r="L14" s="68">
        <v>139876.18</v>
      </c>
      <c r="M14" s="68">
        <f>3082638.12+368694.56</f>
        <v>3451332.68</v>
      </c>
      <c r="N14" s="68">
        <v>583973</v>
      </c>
      <c r="O14" s="68">
        <v>556717</v>
      </c>
      <c r="P14" s="68">
        <v>96211</v>
      </c>
      <c r="Q14" s="12">
        <f t="shared" si="12"/>
        <v>-68955</v>
      </c>
      <c r="R14" s="68">
        <v>10196.870000000001</v>
      </c>
      <c r="S14" s="68">
        <v>2247160.9700000002</v>
      </c>
      <c r="T14" s="68">
        <v>12822.17</v>
      </c>
      <c r="U14" s="68">
        <v>0</v>
      </c>
      <c r="V14" s="68">
        <f>612251.22-10750.82</f>
        <v>601500.4</v>
      </c>
      <c r="W14" s="68">
        <v>0</v>
      </c>
      <c r="X14" s="68">
        <v>0</v>
      </c>
      <c r="Y14" s="68">
        <v>0</v>
      </c>
      <c r="Z14" s="68">
        <v>7455006.0099999998</v>
      </c>
      <c r="AA14" s="68">
        <f>6673417.91-56697</f>
        <v>6616720.9100000001</v>
      </c>
      <c r="AB14" s="68">
        <f>151564.93-8612.75</f>
        <v>142952.18</v>
      </c>
      <c r="AC14" s="68">
        <v>0</v>
      </c>
      <c r="AD14" s="68">
        <v>0</v>
      </c>
      <c r="AE14" s="68">
        <v>0</v>
      </c>
      <c r="AF14" s="68">
        <v>0</v>
      </c>
      <c r="AG14" s="13">
        <v>1705259000</v>
      </c>
      <c r="AH14" s="13">
        <v>346705000</v>
      </c>
      <c r="AI14" s="13">
        <v>43485000</v>
      </c>
      <c r="AJ14" s="13">
        <v>45493000</v>
      </c>
      <c r="AK14" s="13">
        <v>77885000</v>
      </c>
      <c r="AL14" s="13">
        <v>0</v>
      </c>
      <c r="AM14" s="68">
        <v>0</v>
      </c>
      <c r="AN14" s="68">
        <v>0</v>
      </c>
      <c r="AO14" s="68">
        <v>245000</v>
      </c>
      <c r="AP14" s="13">
        <f>16608000-276000</f>
        <v>16332000</v>
      </c>
      <c r="AQ14" s="68">
        <v>0</v>
      </c>
      <c r="AR14" s="68">
        <v>0</v>
      </c>
      <c r="AS14" s="68">
        <v>0</v>
      </c>
      <c r="AT14" s="13">
        <v>303955000</v>
      </c>
      <c r="AU14" s="13">
        <f>286832000-2812000</f>
        <v>284020000</v>
      </c>
      <c r="AV14" s="13">
        <v>0</v>
      </c>
      <c r="AW14" s="13">
        <v>0</v>
      </c>
      <c r="AX14" s="13">
        <v>1342287395</v>
      </c>
      <c r="AY14" s="14">
        <v>2.9600000000000001E-2</v>
      </c>
      <c r="AZ14" s="47">
        <v>2.0580000000000001E-2</v>
      </c>
      <c r="BA14" s="15">
        <f t="shared" si="13"/>
        <v>1.3099999999999987E-3</v>
      </c>
      <c r="BB14" s="12">
        <f t="shared" ref="BB14:BB23" si="24">BF14+BG14-BH14-BI14+SUM(AE14:AF14)</f>
        <v>29535654.210800003</v>
      </c>
      <c r="BC14" s="45">
        <f t="shared" si="20"/>
        <v>1349060754</v>
      </c>
      <c r="BD14" s="68"/>
      <c r="BE14" s="68"/>
      <c r="BF14" s="44">
        <f t="shared" si="21"/>
        <v>35416526.259999998</v>
      </c>
      <c r="BG14" s="66">
        <f t="shared" si="17"/>
        <v>2236964.1</v>
      </c>
      <c r="BH14" s="44">
        <f t="shared" si="18"/>
        <v>7461959.3391999993</v>
      </c>
      <c r="BI14" s="49">
        <f t="shared" si="19"/>
        <v>655876.80999999982</v>
      </c>
      <c r="BJ14" s="60">
        <v>0</v>
      </c>
      <c r="BK14" s="60">
        <v>507</v>
      </c>
      <c r="BL14" s="13"/>
      <c r="BM14" s="13">
        <v>244691</v>
      </c>
      <c r="BN14" s="13">
        <v>19467324</v>
      </c>
      <c r="BO14" s="13">
        <v>3513000</v>
      </c>
      <c r="BP14" s="80">
        <f>77864000-AK14</f>
        <v>-21000</v>
      </c>
      <c r="BQ14" s="7">
        <f>754000-955000</f>
        <v>-201000</v>
      </c>
      <c r="BR14" s="81">
        <f t="shared" si="23"/>
        <v>31904590</v>
      </c>
      <c r="BT14" s="81">
        <f t="shared" si="22"/>
        <v>1393904000</v>
      </c>
      <c r="BY14" s="85"/>
      <c r="BZ14" s="13"/>
    </row>
    <row r="15" spans="1:79">
      <c r="A15" s="8">
        <v>40391</v>
      </c>
      <c r="B15" s="68">
        <v>33749616.789999999</v>
      </c>
      <c r="C15" s="68">
        <v>7962381.0599999996</v>
      </c>
      <c r="D15" s="68">
        <v>2658599.27</v>
      </c>
      <c r="E15" s="68">
        <v>0</v>
      </c>
      <c r="F15" s="68">
        <v>55214.37</v>
      </c>
      <c r="G15" s="68">
        <v>0</v>
      </c>
      <c r="H15" s="68">
        <v>0</v>
      </c>
      <c r="I15" s="68">
        <v>55214.37</v>
      </c>
      <c r="J15" s="68">
        <v>34997.64</v>
      </c>
      <c r="K15" s="68">
        <v>492717.05</v>
      </c>
      <c r="L15" s="68">
        <v>121769.01</v>
      </c>
      <c r="M15" s="68">
        <f>2868634.9+641230.17</f>
        <v>3509865.07</v>
      </c>
      <c r="N15" s="68">
        <v>1123664</v>
      </c>
      <c r="O15" s="68">
        <v>1056611</v>
      </c>
      <c r="P15" s="68">
        <v>223707</v>
      </c>
      <c r="Q15" s="12">
        <f t="shared" si="12"/>
        <v>-156654</v>
      </c>
      <c r="R15" s="68">
        <v>0</v>
      </c>
      <c r="S15" s="68">
        <v>2825895.99</v>
      </c>
      <c r="T15" s="68">
        <v>0</v>
      </c>
      <c r="U15" s="68">
        <v>0</v>
      </c>
      <c r="V15" s="68">
        <v>514037.96</v>
      </c>
      <c r="W15" s="68">
        <v>0</v>
      </c>
      <c r="X15" s="68">
        <v>0</v>
      </c>
      <c r="Y15" s="68">
        <v>0</v>
      </c>
      <c r="Z15" s="68">
        <v>7093118.7699999996</v>
      </c>
      <c r="AA15" s="68">
        <v>6317868.7699999996</v>
      </c>
      <c r="AB15" s="68">
        <v>121515.27</v>
      </c>
      <c r="AC15" s="68">
        <v>0</v>
      </c>
      <c r="AD15" s="68">
        <v>0</v>
      </c>
      <c r="AE15" s="68">
        <v>0</v>
      </c>
      <c r="AF15" s="68">
        <v>0</v>
      </c>
      <c r="AG15" s="13">
        <v>1702774000</v>
      </c>
      <c r="AH15" s="13">
        <v>339604000</v>
      </c>
      <c r="AI15" s="13">
        <v>43604000</v>
      </c>
      <c r="AJ15" s="13">
        <v>45757000</v>
      </c>
      <c r="AK15" s="13">
        <v>97221000</v>
      </c>
      <c r="AL15" s="13">
        <v>120656</v>
      </c>
      <c r="AM15" s="68">
        <v>0</v>
      </c>
      <c r="AN15" s="68">
        <v>0</v>
      </c>
      <c r="AO15" s="68">
        <v>0</v>
      </c>
      <c r="AP15" s="13">
        <v>14803000</v>
      </c>
      <c r="AQ15" s="68">
        <v>0</v>
      </c>
      <c r="AR15" s="68">
        <v>0</v>
      </c>
      <c r="AS15" s="68">
        <v>0</v>
      </c>
      <c r="AT15" s="13">
        <v>297056000</v>
      </c>
      <c r="AU15" s="13">
        <v>278518000</v>
      </c>
      <c r="AV15" s="13">
        <v>0</v>
      </c>
      <c r="AW15" s="13">
        <v>0</v>
      </c>
      <c r="AX15" s="13">
        <v>1239808026</v>
      </c>
      <c r="AY15" s="11">
        <v>2.6100000000000002E-2</v>
      </c>
      <c r="AZ15" s="47">
        <v>2.0580000000000001E-2</v>
      </c>
      <c r="BA15" s="15">
        <f t="shared" si="13"/>
        <v>2.2599999999999981E-3</v>
      </c>
      <c r="BB15" s="12">
        <f t="shared" si="24"/>
        <v>31444299.382700004</v>
      </c>
      <c r="BC15" s="45">
        <f t="shared" si="20"/>
        <v>1376566107</v>
      </c>
      <c r="BD15" s="68"/>
      <c r="BE15" s="68">
        <f>+BE13-BE14</f>
        <v>0</v>
      </c>
      <c r="BF15" s="44">
        <f t="shared" si="21"/>
        <v>35641772.130000003</v>
      </c>
      <c r="BG15" s="66">
        <f t="shared" si="17"/>
        <v>2825895.99</v>
      </c>
      <c r="BH15" s="44">
        <f t="shared" si="18"/>
        <v>7099656.1172999991</v>
      </c>
      <c r="BI15" s="49">
        <f t="shared" si="19"/>
        <v>-76287.379999999888</v>
      </c>
      <c r="BJ15" s="60">
        <v>0</v>
      </c>
      <c r="BK15" s="60">
        <v>499</v>
      </c>
      <c r="BL15" s="13"/>
      <c r="BM15" s="13">
        <v>231927</v>
      </c>
      <c r="BN15" s="13">
        <v>52261132</v>
      </c>
      <c r="BO15" s="13">
        <v>-103436000</v>
      </c>
      <c r="BP15" s="80">
        <f>97423000-AK15</f>
        <v>202000</v>
      </c>
      <c r="BQ15" s="80">
        <f>297056000-AT15</f>
        <v>0</v>
      </c>
      <c r="BR15" s="81">
        <f t="shared" si="23"/>
        <v>18042915</v>
      </c>
      <c r="BT15" s="81">
        <f t="shared" si="22"/>
        <v>1310344000</v>
      </c>
      <c r="BY15" s="85"/>
      <c r="BZ15" s="13"/>
    </row>
    <row r="16" spans="1:79">
      <c r="A16" s="8">
        <v>40422</v>
      </c>
      <c r="B16" s="68">
        <v>30600201.059999999</v>
      </c>
      <c r="C16" s="68">
        <v>7574325.3899999997</v>
      </c>
      <c r="D16" s="68">
        <v>1854215.45</v>
      </c>
      <c r="E16" s="68">
        <v>0</v>
      </c>
      <c r="F16" s="68">
        <v>74021.7</v>
      </c>
      <c r="G16" s="68">
        <v>0</v>
      </c>
      <c r="H16" s="68">
        <v>0</v>
      </c>
      <c r="I16" s="68">
        <v>74021.7</v>
      </c>
      <c r="J16" s="68">
        <v>18416.919999999998</v>
      </c>
      <c r="K16" s="70">
        <v>524323.06000000006</v>
      </c>
      <c r="L16" s="68">
        <v>164520.72</v>
      </c>
      <c r="M16" s="68">
        <f>1318572.66+205141.89</f>
        <v>1523714.5499999998</v>
      </c>
      <c r="N16" s="68">
        <v>294747</v>
      </c>
      <c r="O16" s="68">
        <v>274274</v>
      </c>
      <c r="P16" s="68">
        <v>11610</v>
      </c>
      <c r="Q16" s="12">
        <f t="shared" si="12"/>
        <v>0</v>
      </c>
      <c r="R16" s="68">
        <v>0</v>
      </c>
      <c r="S16" s="68">
        <v>2424180.52</v>
      </c>
      <c r="T16" s="68">
        <v>0</v>
      </c>
      <c r="U16" s="68">
        <v>0</v>
      </c>
      <c r="V16" s="68">
        <v>501425.53</v>
      </c>
      <c r="W16" s="68">
        <v>0</v>
      </c>
      <c r="X16" s="68">
        <v>0</v>
      </c>
      <c r="Y16" s="68">
        <v>0</v>
      </c>
      <c r="Z16" s="68">
        <v>8885069.2400000002</v>
      </c>
      <c r="AA16" s="68">
        <v>8184559.3700000001</v>
      </c>
      <c r="AB16" s="68">
        <v>112117.4</v>
      </c>
      <c r="AC16" s="68">
        <v>0</v>
      </c>
      <c r="AD16" s="68">
        <v>0</v>
      </c>
      <c r="AE16" s="68">
        <v>0</v>
      </c>
      <c r="AF16" s="68">
        <v>0</v>
      </c>
      <c r="AG16" s="13">
        <v>1544613000</v>
      </c>
      <c r="AH16" s="13">
        <v>370388000</v>
      </c>
      <c r="AI16" s="13">
        <v>44871000</v>
      </c>
      <c r="AJ16" s="13">
        <v>45505000</v>
      </c>
      <c r="AK16" s="13">
        <v>91544000</v>
      </c>
      <c r="AL16" s="13">
        <v>0</v>
      </c>
      <c r="AM16" s="68">
        <v>0</v>
      </c>
      <c r="AN16" s="68">
        <v>0</v>
      </c>
      <c r="AO16" s="68">
        <v>0</v>
      </c>
      <c r="AP16" s="13">
        <v>17468000</v>
      </c>
      <c r="AQ16" s="68">
        <v>0</v>
      </c>
      <c r="AR16" s="68">
        <v>0</v>
      </c>
      <c r="AS16" s="68">
        <v>0</v>
      </c>
      <c r="AT16" s="13">
        <v>419371000</v>
      </c>
      <c r="AU16" s="13">
        <v>398552000</v>
      </c>
      <c r="AV16" s="13">
        <v>0</v>
      </c>
      <c r="AW16" s="13">
        <v>0</v>
      </c>
      <c r="AX16" s="13">
        <v>1195537407</v>
      </c>
      <c r="AY16" s="14">
        <v>2.7099999999999999E-2</v>
      </c>
      <c r="AZ16" s="47">
        <v>2.0580000000000001E-2</v>
      </c>
      <c r="BA16" s="15">
        <f t="shared" ref="BA16:BA23" si="25">ROUND(BB16/BC16,5)-AZ16</f>
        <v>1.9899999999999987E-3</v>
      </c>
      <c r="BB16" s="12">
        <f t="shared" si="24"/>
        <v>24736265.375300001</v>
      </c>
      <c r="BC16" s="45">
        <f t="shared" si="20"/>
        <v>1095884289</v>
      </c>
      <c r="BD16" s="48">
        <v>1.8400000000000001E-3</v>
      </c>
      <c r="BE16" s="68"/>
      <c r="BF16" s="44">
        <f t="shared" si="21"/>
        <v>31001922.43</v>
      </c>
      <c r="BG16" s="66">
        <f t="shared" si="17"/>
        <v>2424180.52</v>
      </c>
      <c r="BH16" s="44">
        <f t="shared" si="18"/>
        <v>8890953.1646999996</v>
      </c>
      <c r="BI16" s="49">
        <f t="shared" si="19"/>
        <v>-201115.59000000008</v>
      </c>
      <c r="BJ16" s="60">
        <v>0</v>
      </c>
      <c r="BK16" s="60">
        <v>266</v>
      </c>
      <c r="BL16" s="13">
        <v>211000</v>
      </c>
      <c r="BM16" s="13">
        <f>238931+349783</f>
        <v>588714</v>
      </c>
      <c r="BN16" s="13">
        <v>-223908994</v>
      </c>
      <c r="BO16" s="13">
        <v>-26188000</v>
      </c>
      <c r="BP16" s="13">
        <f>91602000-AK16</f>
        <v>58000</v>
      </c>
      <c r="BQ16" s="13">
        <f>419371000-AT16</f>
        <v>0</v>
      </c>
      <c r="BR16" s="81">
        <f t="shared" si="23"/>
        <v>127851873</v>
      </c>
      <c r="BT16" s="81">
        <f t="shared" si="22"/>
        <v>1100280000</v>
      </c>
      <c r="BY16" s="85"/>
      <c r="BZ16" s="13"/>
    </row>
    <row r="17" spans="1:79">
      <c r="A17" s="8">
        <v>40452</v>
      </c>
      <c r="B17" s="68">
        <v>28359069.359999999</v>
      </c>
      <c r="C17" s="68">
        <v>6604471.6600000001</v>
      </c>
      <c r="D17" s="68">
        <v>1811987.46</v>
      </c>
      <c r="E17" s="68">
        <v>0</v>
      </c>
      <c r="F17" s="68">
        <v>291745.06</v>
      </c>
      <c r="G17" s="68">
        <v>0</v>
      </c>
      <c r="H17" s="68">
        <v>0</v>
      </c>
      <c r="I17" s="68">
        <v>291745.06</v>
      </c>
      <c r="J17" s="68">
        <v>79221.179999999993</v>
      </c>
      <c r="K17" s="68">
        <v>473546.4</v>
      </c>
      <c r="L17" s="68">
        <v>124859.61</v>
      </c>
      <c r="M17" s="68">
        <v>249372.88</v>
      </c>
      <c r="N17" s="68">
        <v>780069</v>
      </c>
      <c r="O17" s="68">
        <v>671388</v>
      </c>
      <c r="P17" s="68">
        <v>1096</v>
      </c>
      <c r="Q17" s="12">
        <f t="shared" si="12"/>
        <v>0</v>
      </c>
      <c r="R17" s="68">
        <v>0</v>
      </c>
      <c r="S17" s="68">
        <v>2652042.35</v>
      </c>
      <c r="T17" s="68">
        <v>0</v>
      </c>
      <c r="U17" s="68">
        <v>0</v>
      </c>
      <c r="V17" s="68">
        <v>926587.44</v>
      </c>
      <c r="W17" s="68">
        <v>0</v>
      </c>
      <c r="X17" s="68">
        <v>0</v>
      </c>
      <c r="Y17" s="68">
        <v>0</v>
      </c>
      <c r="Z17" s="68">
        <v>11306507.300000001</v>
      </c>
      <c r="AA17" s="68">
        <v>10078472.33</v>
      </c>
      <c r="AB17" s="68">
        <v>169140.52</v>
      </c>
      <c r="AC17" s="68">
        <v>0</v>
      </c>
      <c r="AD17" s="68">
        <v>0</v>
      </c>
      <c r="AE17" s="68">
        <v>0</v>
      </c>
      <c r="AF17" s="68">
        <v>0</v>
      </c>
      <c r="AG17" s="13">
        <v>1408648000</v>
      </c>
      <c r="AH17" s="13">
        <v>291486000</v>
      </c>
      <c r="AI17" s="13">
        <v>39587000</v>
      </c>
      <c r="AJ17" s="13">
        <v>40069000</v>
      </c>
      <c r="AK17" s="13">
        <v>102423000</v>
      </c>
      <c r="AL17" s="13">
        <v>0</v>
      </c>
      <c r="AM17" s="68">
        <v>0</v>
      </c>
      <c r="AN17" s="68">
        <v>0</v>
      </c>
      <c r="AO17" s="68">
        <v>0</v>
      </c>
      <c r="AP17" s="13">
        <v>35236000</v>
      </c>
      <c r="AQ17" s="68">
        <v>0</v>
      </c>
      <c r="AR17" s="68">
        <v>0</v>
      </c>
      <c r="AS17" s="68">
        <v>0</v>
      </c>
      <c r="AT17" s="13">
        <v>563095000</v>
      </c>
      <c r="AU17" s="13">
        <v>521498000</v>
      </c>
      <c r="AV17" s="13">
        <v>0</v>
      </c>
      <c r="AW17" s="13">
        <v>0</v>
      </c>
      <c r="AX17" s="13">
        <v>938373231</v>
      </c>
      <c r="AY17" s="14">
        <v>3.9199999999999999E-2</v>
      </c>
      <c r="AZ17" s="47">
        <v>2.0580000000000001E-2</v>
      </c>
      <c r="BA17" s="15">
        <f t="shared" si="25"/>
        <v>3.2999999999999974E-3</v>
      </c>
      <c r="BB17" s="12">
        <f t="shared" si="24"/>
        <v>19920430.545499999</v>
      </c>
      <c r="BC17" s="45">
        <f t="shared" si="20"/>
        <v>834281856</v>
      </c>
      <c r="BD17" s="68"/>
      <c r="BE17" s="68"/>
      <c r="BF17" s="44">
        <f t="shared" si="21"/>
        <v>27595168.539999999</v>
      </c>
      <c r="BG17" s="66">
        <f t="shared" si="17"/>
        <v>2652042.35</v>
      </c>
      <c r="BH17" s="44">
        <f t="shared" si="18"/>
        <v>11317096.2445</v>
      </c>
      <c r="BI17" s="49">
        <f t="shared" si="19"/>
        <v>-990315.89999999991</v>
      </c>
      <c r="BJ17" s="60">
        <v>165</v>
      </c>
      <c r="BK17" s="60">
        <v>30</v>
      </c>
      <c r="BL17" s="13">
        <v>571000</v>
      </c>
      <c r="BM17" s="13">
        <v>38945</v>
      </c>
      <c r="BN17" s="13">
        <v>-170258343</v>
      </c>
      <c r="BO17" s="13">
        <v>16799000</v>
      </c>
      <c r="BP17" s="13">
        <f>102163000-AK17</f>
        <v>-260000</v>
      </c>
      <c r="BQ17" s="13">
        <f>563215000-AT17</f>
        <v>120000</v>
      </c>
      <c r="BR17" s="81">
        <f t="shared" si="23"/>
        <v>116014167</v>
      </c>
      <c r="BT17" s="81">
        <f t="shared" si="22"/>
        <v>884739000</v>
      </c>
      <c r="BY17" s="85"/>
      <c r="BZ17" s="13"/>
    </row>
    <row r="18" spans="1:79">
      <c r="A18" s="8">
        <v>40483</v>
      </c>
      <c r="B18" s="12">
        <v>29025063.940000001</v>
      </c>
      <c r="C18" s="12">
        <v>7785600.9800000004</v>
      </c>
      <c r="D18" s="12">
        <v>2046580.11</v>
      </c>
      <c r="E18" s="12">
        <v>0</v>
      </c>
      <c r="F18" s="12">
        <v>115676.79</v>
      </c>
      <c r="G18" s="12">
        <v>0</v>
      </c>
      <c r="H18" s="12">
        <v>0</v>
      </c>
      <c r="I18" s="12">
        <v>115676.79</v>
      </c>
      <c r="J18" s="12">
        <v>30420.85</v>
      </c>
      <c r="K18" s="12">
        <v>513955.95</v>
      </c>
      <c r="L18" s="12">
        <v>118568</v>
      </c>
      <c r="M18" s="12">
        <f>138449.81+69261.8</f>
        <v>207711.61</v>
      </c>
      <c r="N18" s="12">
        <v>677605</v>
      </c>
      <c r="O18" s="12">
        <v>637499</v>
      </c>
      <c r="P18" s="12">
        <v>19636</v>
      </c>
      <c r="Q18" s="12">
        <f t="shared" si="12"/>
        <v>0</v>
      </c>
      <c r="R18" s="12">
        <v>0</v>
      </c>
      <c r="S18" s="12">
        <v>3035088.59</v>
      </c>
      <c r="T18" s="12">
        <v>0</v>
      </c>
      <c r="U18" s="12">
        <v>0</v>
      </c>
      <c r="V18" s="12">
        <v>1096666.6000000001</v>
      </c>
      <c r="W18" s="12">
        <v>0</v>
      </c>
      <c r="X18" s="12">
        <v>0</v>
      </c>
      <c r="Y18" s="12">
        <v>0</v>
      </c>
      <c r="Z18" s="12">
        <v>11274958.710000001</v>
      </c>
      <c r="AA18" s="12">
        <v>9372879.3800000008</v>
      </c>
      <c r="AB18" s="12">
        <v>254252.27</v>
      </c>
      <c r="AC18" s="12">
        <v>0</v>
      </c>
      <c r="AD18" s="12">
        <v>0</v>
      </c>
      <c r="AE18" s="12">
        <v>0</v>
      </c>
      <c r="AF18" s="12">
        <v>0</v>
      </c>
      <c r="AG18" s="13">
        <v>1425961000</v>
      </c>
      <c r="AH18" s="13">
        <v>329566000</v>
      </c>
      <c r="AI18" s="13">
        <v>42762000</v>
      </c>
      <c r="AJ18" s="13">
        <v>43566000</v>
      </c>
      <c r="AK18" s="13">
        <v>110760000</v>
      </c>
      <c r="AL18" s="12">
        <v>0</v>
      </c>
      <c r="AM18" s="13">
        <v>0</v>
      </c>
      <c r="AN18" s="12">
        <v>0</v>
      </c>
      <c r="AO18" s="13">
        <v>0</v>
      </c>
      <c r="AP18" s="13">
        <v>36980000</v>
      </c>
      <c r="AQ18" s="13">
        <v>0</v>
      </c>
      <c r="AR18" s="13">
        <v>0</v>
      </c>
      <c r="AS18" s="12">
        <v>0</v>
      </c>
      <c r="AT18" s="13">
        <v>562376000</v>
      </c>
      <c r="AU18" s="13">
        <v>499028000</v>
      </c>
      <c r="AV18" s="13">
        <v>0</v>
      </c>
      <c r="AW18" s="13">
        <v>0</v>
      </c>
      <c r="AX18" s="13">
        <v>814280648</v>
      </c>
      <c r="AY18" s="14">
        <v>0.04</v>
      </c>
      <c r="AZ18" s="47">
        <v>2.0580000000000001E-2</v>
      </c>
      <c r="BA18" s="15">
        <f t="shared" si="25"/>
        <v>2.919999999999999E-3</v>
      </c>
      <c r="BB18" s="12">
        <f t="shared" si="24"/>
        <v>20030274.4494</v>
      </c>
      <c r="BC18" s="67">
        <f t="shared" si="20"/>
        <v>852496320</v>
      </c>
      <c r="BF18" s="44">
        <f t="shared" si="21"/>
        <v>27890614.239999998</v>
      </c>
      <c r="BG18" s="66">
        <f t="shared" si="17"/>
        <v>3035088.59</v>
      </c>
      <c r="BH18" s="44">
        <f t="shared" si="18"/>
        <v>11291436.980600001</v>
      </c>
      <c r="BI18" s="49">
        <f t="shared" si="19"/>
        <v>-396008.60000000009</v>
      </c>
      <c r="BJ18" s="60">
        <v>501</v>
      </c>
      <c r="BK18" s="60">
        <v>3</v>
      </c>
      <c r="BL18" s="13">
        <v>445000</v>
      </c>
      <c r="BM18" s="13">
        <v>9069</v>
      </c>
      <c r="BN18" s="13">
        <v>13753683</v>
      </c>
      <c r="BO18" s="13">
        <v>13334000</v>
      </c>
      <c r="BP18" s="13">
        <f>110760000-AK18</f>
        <v>0</v>
      </c>
      <c r="BQ18" s="13">
        <f>562155000-AT18</f>
        <v>-221000</v>
      </c>
      <c r="BR18" s="81">
        <f t="shared" si="23"/>
        <v>73083600</v>
      </c>
      <c r="BT18" s="81">
        <f t="shared" si="22"/>
        <v>901572000</v>
      </c>
      <c r="BY18" s="85"/>
      <c r="BZ18" s="13"/>
    </row>
    <row r="19" spans="1:79">
      <c r="A19" s="8">
        <v>40513</v>
      </c>
      <c r="B19" s="12">
        <v>32585924.75</v>
      </c>
      <c r="C19" s="12">
        <v>9681806.0899999999</v>
      </c>
      <c r="D19" s="12">
        <v>2544949.0299999998</v>
      </c>
      <c r="E19" s="12">
        <v>0</v>
      </c>
      <c r="F19" s="12">
        <v>64418.65</v>
      </c>
      <c r="G19" s="12">
        <v>0</v>
      </c>
      <c r="H19" s="12">
        <v>0</v>
      </c>
      <c r="I19" s="12">
        <v>64418.65</v>
      </c>
      <c r="J19" s="12">
        <v>16194.16</v>
      </c>
      <c r="K19" s="12">
        <v>641564.59</v>
      </c>
      <c r="L19" s="12">
        <v>196911.92</v>
      </c>
      <c r="M19" s="12">
        <f>2233101.32+536040.8</f>
        <v>2769142.12</v>
      </c>
      <c r="N19" s="12">
        <v>1074777</v>
      </c>
      <c r="O19" s="12">
        <v>1046467</v>
      </c>
      <c r="P19" s="12">
        <v>109140</v>
      </c>
      <c r="Q19" s="12">
        <f t="shared" si="12"/>
        <v>-80830</v>
      </c>
      <c r="R19" s="12">
        <v>0</v>
      </c>
      <c r="S19" s="12">
        <v>3266973.77</v>
      </c>
      <c r="T19" s="12">
        <v>0</v>
      </c>
      <c r="U19" s="12">
        <v>0</v>
      </c>
      <c r="V19" s="12">
        <v>958111.64</v>
      </c>
      <c r="W19" s="12">
        <v>0</v>
      </c>
      <c r="X19" s="12">
        <v>0</v>
      </c>
      <c r="Y19" s="12">
        <v>0</v>
      </c>
      <c r="Z19" s="12">
        <v>12640284.99</v>
      </c>
      <c r="AA19" s="12">
        <v>10908776.859999999</v>
      </c>
      <c r="AB19" s="12">
        <v>211307.29</v>
      </c>
      <c r="AC19" s="12">
        <v>0</v>
      </c>
      <c r="AD19" s="12">
        <v>0</v>
      </c>
      <c r="AE19" s="12">
        <v>0</v>
      </c>
      <c r="AF19" s="12">
        <v>0</v>
      </c>
      <c r="AG19" s="13">
        <v>1622331000</v>
      </c>
      <c r="AH19" s="13">
        <v>399587000</v>
      </c>
      <c r="AI19" s="13">
        <v>50808000</v>
      </c>
      <c r="AJ19" s="13">
        <v>53811000</v>
      </c>
      <c r="AK19" s="13">
        <v>121903000</v>
      </c>
      <c r="AL19" s="12">
        <v>0</v>
      </c>
      <c r="AM19" s="13">
        <v>0</v>
      </c>
      <c r="AN19" s="12">
        <v>0</v>
      </c>
      <c r="AO19" s="13">
        <v>0</v>
      </c>
      <c r="AP19" s="13">
        <v>30373000</v>
      </c>
      <c r="AQ19" s="13">
        <v>0</v>
      </c>
      <c r="AR19" s="13">
        <v>0</v>
      </c>
      <c r="AS19" s="12">
        <v>0</v>
      </c>
      <c r="AT19" s="13">
        <v>544389000</v>
      </c>
      <c r="AU19" s="13">
        <v>489542000</v>
      </c>
      <c r="AV19" s="13">
        <v>0</v>
      </c>
      <c r="AW19" s="13">
        <v>0</v>
      </c>
      <c r="AX19" s="13">
        <v>898561635</v>
      </c>
      <c r="AY19" s="14">
        <v>4.2099999999999999E-2</v>
      </c>
      <c r="AZ19" s="47">
        <v>2.0580000000000001E-2</v>
      </c>
      <c r="BA19" s="15">
        <f t="shared" si="25"/>
        <v>2.3E-3</v>
      </c>
      <c r="BB19" s="12">
        <f t="shared" si="24"/>
        <v>23999203.851599999</v>
      </c>
      <c r="BC19" s="45">
        <f t="shared" si="20"/>
        <v>1049116985</v>
      </c>
      <c r="BF19" s="44">
        <f t="shared" si="21"/>
        <v>33599840.359999999</v>
      </c>
      <c r="BG19" s="66">
        <f t="shared" si="17"/>
        <v>3266973.77</v>
      </c>
      <c r="BH19" s="44">
        <f t="shared" si="18"/>
        <v>12655486.998400001</v>
      </c>
      <c r="BI19" s="49">
        <f t="shared" si="19"/>
        <v>212123.2799999998</v>
      </c>
      <c r="BJ19" s="60">
        <v>1065</v>
      </c>
      <c r="BK19" s="60">
        <v>0</v>
      </c>
      <c r="BL19" s="13">
        <v>97000</v>
      </c>
      <c r="BM19" s="13">
        <f>325021+449402</f>
        <v>774423</v>
      </c>
      <c r="BN19" s="13">
        <v>189040278</v>
      </c>
      <c r="BO19" s="13">
        <v>4274750</v>
      </c>
      <c r="BP19" s="13">
        <f>121903000-AK19</f>
        <v>0</v>
      </c>
      <c r="BQ19" s="13">
        <f>54968000+489542000-20000-AT19</f>
        <v>101000</v>
      </c>
      <c r="BR19" s="81">
        <f t="shared" si="23"/>
        <v>10926414</v>
      </c>
      <c r="BS19" s="80"/>
      <c r="BT19" s="81">
        <f t="shared" si="22"/>
        <v>1099399750</v>
      </c>
      <c r="BX19" s="80"/>
      <c r="BY19" s="85"/>
      <c r="BZ19" s="13"/>
    </row>
    <row r="20" spans="1:79">
      <c r="A20" s="8">
        <v>40544</v>
      </c>
      <c r="B20" s="12">
        <v>33625370.149999999</v>
      </c>
      <c r="C20" s="12">
        <v>9222565.8599999994</v>
      </c>
      <c r="D20" s="12">
        <v>2488035.04</v>
      </c>
      <c r="E20" s="12">
        <v>0</v>
      </c>
      <c r="F20" s="12">
        <v>144734.43</v>
      </c>
      <c r="G20" s="12">
        <v>1356.71</v>
      </c>
      <c r="H20" s="12">
        <v>0</v>
      </c>
      <c r="I20" s="12">
        <v>143377.72</v>
      </c>
      <c r="J20" s="12">
        <v>38822.980000000003</v>
      </c>
      <c r="K20" s="12">
        <v>525134.32999999996</v>
      </c>
      <c r="L20" s="12">
        <v>56231.13</v>
      </c>
      <c r="M20" s="12">
        <v>1013059.42</v>
      </c>
      <c r="N20" s="9">
        <v>1752307</v>
      </c>
      <c r="O20" s="9">
        <v>1766777</v>
      </c>
      <c r="P20" s="9">
        <v>5312</v>
      </c>
      <c r="Q20" s="9">
        <f t="shared" si="12"/>
        <v>-19782</v>
      </c>
      <c r="R20" s="12">
        <v>0</v>
      </c>
      <c r="S20" s="12">
        <v>5387282.2800000003</v>
      </c>
      <c r="T20" s="12">
        <v>0</v>
      </c>
      <c r="U20" s="12">
        <v>0</v>
      </c>
      <c r="V20" s="12">
        <v>3163571.59</v>
      </c>
      <c r="W20" s="12">
        <v>0</v>
      </c>
      <c r="X20" s="12">
        <v>0</v>
      </c>
      <c r="Y20" s="12">
        <v>0</v>
      </c>
      <c r="Z20" s="12">
        <v>15682247</v>
      </c>
      <c r="AA20" s="12">
        <v>10622537.51</v>
      </c>
      <c r="AB20" s="12">
        <v>604867.68999999994</v>
      </c>
      <c r="AC20" s="12">
        <v>0</v>
      </c>
      <c r="AD20" s="12">
        <v>0</v>
      </c>
      <c r="AE20" s="12">
        <v>0</v>
      </c>
      <c r="AF20" s="12">
        <v>0</v>
      </c>
      <c r="AG20" s="13">
        <v>1656035000</v>
      </c>
      <c r="AH20" s="13">
        <v>406021000</v>
      </c>
      <c r="AI20" s="13">
        <v>52468000</v>
      </c>
      <c r="AJ20" s="13">
        <v>55669000</v>
      </c>
      <c r="AK20" s="13">
        <v>187251000</v>
      </c>
      <c r="AL20" s="12">
        <v>0</v>
      </c>
      <c r="AM20" s="13">
        <v>0</v>
      </c>
      <c r="AN20" s="12">
        <v>0</v>
      </c>
      <c r="AO20" s="13">
        <v>0</v>
      </c>
      <c r="AP20" s="13">
        <v>103075000</v>
      </c>
      <c r="AQ20" s="13">
        <v>0</v>
      </c>
      <c r="AR20" s="13">
        <v>0</v>
      </c>
      <c r="AS20" s="12">
        <v>0</v>
      </c>
      <c r="AT20" s="13">
        <v>665455000</v>
      </c>
      <c r="AU20" s="13">
        <v>509422000</v>
      </c>
      <c r="AV20" s="13">
        <v>0</v>
      </c>
      <c r="AW20" s="13">
        <v>0</v>
      </c>
      <c r="AX20" s="13">
        <v>1090948233</v>
      </c>
      <c r="AY20" s="14">
        <v>3.7699999999999997E-2</v>
      </c>
      <c r="AZ20" s="47">
        <v>2.0580000000000001E-2</v>
      </c>
      <c r="BA20" s="15">
        <f t="shared" si="25"/>
        <v>5.9000000000000025E-4</v>
      </c>
      <c r="BB20" s="12">
        <f t="shared" si="24"/>
        <v>21788159.191999998</v>
      </c>
      <c r="BC20" s="45">
        <f t="shared" si="20"/>
        <v>1029366536</v>
      </c>
      <c r="BF20" s="44">
        <f t="shared" si="21"/>
        <v>32823951.919999998</v>
      </c>
      <c r="BG20" s="66">
        <f t="shared" si="17"/>
        <v>5387282.2800000003</v>
      </c>
      <c r="BH20" s="44">
        <f t="shared" si="18"/>
        <v>15726795.418</v>
      </c>
      <c r="BI20" s="49">
        <f>IF(BD18="",ROUND((AX20-AL20)*BA18,2)-ROUND(BC18*BA18,2),ROUND((AX20-AL20)*BD18,2)-ROUND(BC18*BD18,2))</f>
        <v>696279.58999999985</v>
      </c>
      <c r="BJ20" s="60">
        <v>1057</v>
      </c>
      <c r="BK20" s="60">
        <v>0</v>
      </c>
      <c r="BL20" s="13">
        <v>10000</v>
      </c>
      <c r="BM20" s="13">
        <v>62723</v>
      </c>
      <c r="BN20" s="13">
        <v>-68993577</v>
      </c>
      <c r="BO20" s="13">
        <f>1895935</f>
        <v>1895935</v>
      </c>
      <c r="BP20" s="13">
        <f>187251000-AK20</f>
        <v>0</v>
      </c>
      <c r="BQ20" s="13">
        <f>155967000+509422000-AT20</f>
        <v>-66000</v>
      </c>
      <c r="BR20" s="81">
        <f t="shared" si="23"/>
        <v>49628556</v>
      </c>
      <c r="BS20" s="80"/>
      <c r="BT20" s="81">
        <f t="shared" si="22"/>
        <v>1071655935</v>
      </c>
      <c r="BX20" s="80"/>
      <c r="BY20" s="85"/>
      <c r="BZ20" s="13"/>
    </row>
    <row r="21" spans="1:79">
      <c r="A21" s="8">
        <v>40575</v>
      </c>
      <c r="B21" s="12">
        <v>26667959.640000001</v>
      </c>
      <c r="C21" s="12">
        <v>8054012.21</v>
      </c>
      <c r="D21" s="12">
        <v>2155367.7400000002</v>
      </c>
      <c r="E21" s="12">
        <v>0</v>
      </c>
      <c r="F21" s="12">
        <v>237851.89</v>
      </c>
      <c r="G21" s="12">
        <v>3918.27</v>
      </c>
      <c r="H21" s="12">
        <v>0</v>
      </c>
      <c r="I21" s="12">
        <v>233933.62</v>
      </c>
      <c r="J21" s="12">
        <v>61145.919999999998</v>
      </c>
      <c r="K21" s="12">
        <v>483237.25</v>
      </c>
      <c r="L21" s="12">
        <v>56299.75</v>
      </c>
      <c r="M21" s="12">
        <v>829528.01</v>
      </c>
      <c r="N21" s="12">
        <v>767310</v>
      </c>
      <c r="O21" s="12">
        <v>779510</v>
      </c>
      <c r="P21" s="12">
        <v>988</v>
      </c>
      <c r="Q21" s="12">
        <f t="shared" si="12"/>
        <v>-13188</v>
      </c>
      <c r="R21" s="12">
        <v>0</v>
      </c>
      <c r="S21" s="12">
        <v>5200499.67</v>
      </c>
      <c r="T21" s="12">
        <v>16340.07</v>
      </c>
      <c r="U21" s="12">
        <v>15.09</v>
      </c>
      <c r="V21" s="12">
        <v>3315257.9</v>
      </c>
      <c r="W21" s="12">
        <v>0</v>
      </c>
      <c r="X21" s="12">
        <v>0</v>
      </c>
      <c r="Y21" s="12">
        <v>0</v>
      </c>
      <c r="Z21" s="12">
        <v>11895495.07</v>
      </c>
      <c r="AA21" s="12">
        <v>7160500.75</v>
      </c>
      <c r="AB21" s="12">
        <v>486405.57</v>
      </c>
      <c r="AC21" s="12">
        <v>732.08</v>
      </c>
      <c r="AD21" s="12">
        <v>0</v>
      </c>
      <c r="AE21" s="12">
        <v>0</v>
      </c>
      <c r="AF21" s="12">
        <v>0</v>
      </c>
      <c r="AG21" s="13">
        <v>1297446000</v>
      </c>
      <c r="AH21" s="13">
        <v>350794000</v>
      </c>
      <c r="AI21" s="13">
        <v>45274000</v>
      </c>
      <c r="AJ21" s="13">
        <v>48073000</v>
      </c>
      <c r="AK21" s="13">
        <v>192109000</v>
      </c>
      <c r="AL21" s="12">
        <v>0</v>
      </c>
      <c r="AM21" s="13">
        <v>0</v>
      </c>
      <c r="AN21" s="12">
        <v>0</v>
      </c>
      <c r="AO21" s="13">
        <v>586000</v>
      </c>
      <c r="AP21" s="13">
        <v>116977000</v>
      </c>
      <c r="AQ21" s="13">
        <v>0</v>
      </c>
      <c r="AR21" s="13">
        <v>0</v>
      </c>
      <c r="AS21" s="12">
        <v>0</v>
      </c>
      <c r="AT21" s="13">
        <v>490269000</v>
      </c>
      <c r="AU21" s="13">
        <v>335000000</v>
      </c>
      <c r="AV21" s="13">
        <v>29000</v>
      </c>
      <c r="AW21" s="13">
        <v>0</v>
      </c>
      <c r="AX21" s="13">
        <v>878729015</v>
      </c>
      <c r="AY21" s="14">
        <v>4.7199999999999999E-2</v>
      </c>
      <c r="AZ21" s="47">
        <v>2.0580000000000001E-2</v>
      </c>
      <c r="BA21" s="15">
        <f t="shared" si="25"/>
        <v>2.2199999999999998E-3</v>
      </c>
      <c r="BB21" s="12">
        <f t="shared" si="24"/>
        <v>19684720.323300004</v>
      </c>
      <c r="BC21" s="67">
        <f t="shared" si="20"/>
        <v>863178679</v>
      </c>
      <c r="BF21" s="44">
        <f t="shared" si="21"/>
        <v>26030301.950000003</v>
      </c>
      <c r="BG21" s="66">
        <f t="shared" si="17"/>
        <v>5200499.67</v>
      </c>
      <c r="BH21" s="44">
        <f t="shared" si="18"/>
        <v>11937973.636700001</v>
      </c>
      <c r="BI21" s="49">
        <f>IF(BD19="",ROUND((AX21-AL21)*BA19,2)-ROUND(BC19*BA19,2),ROUND((AX21-AL21)*BD19,2)-ROUND(BC19*BD19,2))</f>
        <v>-391892.33999999985</v>
      </c>
      <c r="BJ21" s="60">
        <v>681</v>
      </c>
      <c r="BK21" s="60">
        <v>0</v>
      </c>
      <c r="BM21" s="13">
        <v>106204</v>
      </c>
      <c r="BN21" s="13">
        <v>-31751311</v>
      </c>
      <c r="BO21" s="13">
        <v>2395019</v>
      </c>
      <c r="BP21" s="13">
        <f>192159000-AK21</f>
        <v>50000</v>
      </c>
      <c r="BQ21" s="13">
        <f>155399000+335029000-AT21</f>
        <v>159000</v>
      </c>
      <c r="BR21" s="81">
        <f t="shared" ref="BR21:BR29" si="26">SUM(AG21,AK21,BO21,BP21)-SUM(AI21,AJ21,AT21,AX21,BM21,BN21,BQ21)</f>
        <v>61141111</v>
      </c>
      <c r="BS21" s="80"/>
      <c r="BT21" s="81">
        <f t="shared" si="22"/>
        <v>908225019</v>
      </c>
      <c r="BY21" s="85"/>
      <c r="BZ21" s="13"/>
    </row>
    <row r="22" spans="1:79">
      <c r="A22" s="8">
        <v>40603</v>
      </c>
      <c r="B22" s="12">
        <v>28365934.75</v>
      </c>
      <c r="C22" s="12">
        <v>8344849.0300000003</v>
      </c>
      <c r="D22" s="12">
        <v>2268682.6</v>
      </c>
      <c r="E22" s="12">
        <v>0</v>
      </c>
      <c r="F22" s="12">
        <v>385201.28</v>
      </c>
      <c r="G22" s="12">
        <v>1378.76</v>
      </c>
      <c r="H22" s="12">
        <v>362840.78</v>
      </c>
      <c r="I22" s="12">
        <v>383822.52</v>
      </c>
      <c r="J22" s="12">
        <v>101298.36</v>
      </c>
      <c r="K22" s="12">
        <v>459742.32</v>
      </c>
      <c r="L22" s="12">
        <v>56051.21</v>
      </c>
      <c r="M22" s="12">
        <v>347223.9</v>
      </c>
      <c r="N22" s="12">
        <v>766463</v>
      </c>
      <c r="O22" s="12">
        <v>669101</v>
      </c>
      <c r="P22" s="12">
        <v>685</v>
      </c>
      <c r="Q22" s="12">
        <f t="shared" si="12"/>
        <v>0</v>
      </c>
      <c r="R22" s="12">
        <v>0</v>
      </c>
      <c r="S22" s="12">
        <v>4855272.99</v>
      </c>
      <c r="T22" s="12">
        <v>0</v>
      </c>
      <c r="U22" s="12">
        <v>0</v>
      </c>
      <c r="V22" s="12">
        <v>2802312.19</v>
      </c>
      <c r="W22" s="12">
        <v>0</v>
      </c>
      <c r="X22" s="12">
        <v>0</v>
      </c>
      <c r="Y22" s="12">
        <v>0</v>
      </c>
      <c r="Z22" s="12">
        <v>12026511.779999999</v>
      </c>
      <c r="AA22" s="12">
        <v>7963526.9100000001</v>
      </c>
      <c r="AB22" s="12">
        <v>383603.29</v>
      </c>
      <c r="AC22" s="12">
        <v>0</v>
      </c>
      <c r="AD22" s="12">
        <v>0</v>
      </c>
      <c r="AE22" s="12">
        <v>0</v>
      </c>
      <c r="AF22" s="12">
        <v>0</v>
      </c>
      <c r="AG22" s="13">
        <v>1376299000</v>
      </c>
      <c r="AH22" s="13">
        <v>360831000</v>
      </c>
      <c r="AI22" s="13">
        <v>47412000</v>
      </c>
      <c r="AJ22" s="13">
        <v>50304000</v>
      </c>
      <c r="AK22" s="13">
        <v>175235000</v>
      </c>
      <c r="AL22" s="12">
        <v>0</v>
      </c>
      <c r="AM22" s="13">
        <v>0</v>
      </c>
      <c r="AN22" s="12">
        <v>0</v>
      </c>
      <c r="AO22" s="13">
        <v>0</v>
      </c>
      <c r="AP22" s="13">
        <v>100968000</v>
      </c>
      <c r="AQ22" s="13">
        <v>0</v>
      </c>
      <c r="AR22" s="13">
        <v>0</v>
      </c>
      <c r="AS22" s="12">
        <v>0</v>
      </c>
      <c r="AT22" s="13">
        <v>515105000</v>
      </c>
      <c r="AU22" s="13">
        <v>375647000</v>
      </c>
      <c r="AV22" s="13">
        <v>0</v>
      </c>
      <c r="AW22" s="13">
        <v>0</v>
      </c>
      <c r="AX22" s="13">
        <v>915185368</v>
      </c>
      <c r="AY22" s="14">
        <v>4.8899999999999999E-2</v>
      </c>
      <c r="AZ22" s="47">
        <v>2.0580000000000001E-2</v>
      </c>
      <c r="BA22" s="15">
        <f t="shared" si="25"/>
        <v>2.2499999999999985E-3</v>
      </c>
      <c r="BB22" s="12">
        <f t="shared" si="24"/>
        <v>20386594.514200002</v>
      </c>
      <c r="BC22" s="67">
        <f t="shared" si="20"/>
        <v>892809934</v>
      </c>
      <c r="BF22" s="44">
        <f t="shared" si="21"/>
        <v>27588149.23</v>
      </c>
      <c r="BG22" s="44">
        <f t="shared" si="17"/>
        <v>4855272.99</v>
      </c>
      <c r="BH22" s="44">
        <f t="shared" si="18"/>
        <v>12063305.595799999</v>
      </c>
      <c r="BI22" s="74">
        <f>IF(BD20="",ROUND((AX22-AL22)*BA20,2)-ROUND(BC20*BA20,2),ROUND((AX22-AL22)*BD20,2)-ROUND(BC20*BD20,2))+60889</f>
        <v>-6477.890000000014</v>
      </c>
      <c r="BJ22" s="60">
        <v>505</v>
      </c>
      <c r="BK22" s="60">
        <v>10</v>
      </c>
      <c r="BM22" s="13">
        <f>381425+518351</f>
        <v>899776</v>
      </c>
      <c r="BN22" s="13">
        <v>-25311897</v>
      </c>
      <c r="BO22" s="13">
        <f>2555714</f>
        <v>2555714</v>
      </c>
      <c r="BP22" s="13">
        <f>175192000-AK22</f>
        <v>-43000</v>
      </c>
      <c r="BQ22" s="13">
        <f>139584000+375647000-AT22</f>
        <v>126000</v>
      </c>
      <c r="BR22" s="81">
        <f t="shared" si="26"/>
        <v>50326467</v>
      </c>
      <c r="BS22" s="80"/>
      <c r="BT22" s="81">
        <f t="shared" si="22"/>
        <v>941099714</v>
      </c>
      <c r="BX22" s="80"/>
      <c r="BY22" s="85"/>
      <c r="BZ22" s="13"/>
    </row>
    <row r="23" spans="1:79">
      <c r="A23" s="8">
        <v>40634</v>
      </c>
      <c r="B23" s="12">
        <v>25702053.420000002</v>
      </c>
      <c r="C23" s="12">
        <v>8095336.75</v>
      </c>
      <c r="D23" s="12">
        <v>2153452.9700000002</v>
      </c>
      <c r="E23" s="12">
        <v>0</v>
      </c>
      <c r="F23" s="12">
        <f>25369.13+715.77</f>
        <v>26084.9</v>
      </c>
      <c r="G23" s="12">
        <v>715.77</v>
      </c>
      <c r="H23" s="12">
        <v>0</v>
      </c>
      <c r="I23" s="12">
        <v>25369.13</v>
      </c>
      <c r="J23" s="12">
        <v>6834.87</v>
      </c>
      <c r="K23" s="12">
        <v>810015.09</v>
      </c>
      <c r="L23" s="12">
        <v>98107.25</v>
      </c>
      <c r="M23" s="12">
        <f>1486507.47+60269.52</f>
        <v>1546776.99</v>
      </c>
      <c r="N23" s="12">
        <v>2305911</v>
      </c>
      <c r="O23" s="12">
        <v>2327429</v>
      </c>
      <c r="P23" s="12">
        <v>10376</v>
      </c>
      <c r="Q23" s="12">
        <f t="shared" si="12"/>
        <v>-31894</v>
      </c>
      <c r="R23" s="12">
        <v>0</v>
      </c>
      <c r="S23" s="12">
        <v>3001267.22</v>
      </c>
      <c r="T23" s="12">
        <v>323.13</v>
      </c>
      <c r="U23" s="12">
        <v>0.43</v>
      </c>
      <c r="V23" s="12">
        <v>910534.89</v>
      </c>
      <c r="W23" s="12">
        <v>0</v>
      </c>
      <c r="X23" s="12">
        <v>0</v>
      </c>
      <c r="Y23" s="12">
        <v>0</v>
      </c>
      <c r="Z23" s="12">
        <v>9337539.6300000008</v>
      </c>
      <c r="AA23" s="12">
        <v>7986928.5499999998</v>
      </c>
      <c r="AB23" s="12">
        <v>131464.45000000001</v>
      </c>
      <c r="AC23" s="12">
        <v>40.86</v>
      </c>
      <c r="AD23" s="12">
        <v>0</v>
      </c>
      <c r="AE23" s="12">
        <v>0</v>
      </c>
      <c r="AF23" s="12">
        <v>0</v>
      </c>
      <c r="AG23" s="13">
        <v>1231324000</v>
      </c>
      <c r="AH23" s="13">
        <v>343331000</v>
      </c>
      <c r="AI23" s="13">
        <v>44081000</v>
      </c>
      <c r="AJ23" s="13">
        <v>46954000</v>
      </c>
      <c r="AK23" s="13">
        <v>109812000</v>
      </c>
      <c r="AL23" s="13">
        <v>0</v>
      </c>
      <c r="AM23" s="13">
        <v>0</v>
      </c>
      <c r="AN23" s="12">
        <v>0</v>
      </c>
      <c r="AO23" s="13">
        <v>8000</v>
      </c>
      <c r="AP23" s="13">
        <v>32734000</v>
      </c>
      <c r="AQ23" s="13">
        <v>0</v>
      </c>
      <c r="AR23" s="13">
        <v>0</v>
      </c>
      <c r="AS23" s="12">
        <v>0</v>
      </c>
      <c r="AT23" s="13">
        <v>413455000</v>
      </c>
      <c r="AU23" s="13">
        <v>367550000</v>
      </c>
      <c r="AV23" s="13">
        <v>1000</v>
      </c>
      <c r="AW23" s="13">
        <v>0</v>
      </c>
      <c r="AX23" s="13">
        <v>828036132</v>
      </c>
      <c r="AY23" s="14">
        <v>4.87E-2</v>
      </c>
      <c r="AZ23" s="47">
        <v>2.0580000000000001E-2</v>
      </c>
      <c r="BA23" s="15">
        <f t="shared" si="25"/>
        <v>4.1799999999999997E-3</v>
      </c>
      <c r="BB23" s="12">
        <f t="shared" si="24"/>
        <v>19705255.84229999</v>
      </c>
      <c r="BC23" s="45">
        <f t="shared" si="20"/>
        <v>795901340</v>
      </c>
      <c r="BF23" s="44">
        <f t="shared" si="21"/>
        <v>25975702.849999994</v>
      </c>
      <c r="BG23" s="44">
        <f t="shared" si="17"/>
        <v>3001267.22</v>
      </c>
      <c r="BH23" s="44">
        <f t="shared" si="18"/>
        <v>9349730.6877000015</v>
      </c>
      <c r="BI23" s="49">
        <f t="shared" ref="BI23:BI34" si="27">IF(BD21="",ROUND((AX23-AL23)*BA21,2)-ROUND(BC21*BA21,2),ROUND((AX23-AL23)*BD21,2)-ROUND(BC21*BD21,2))</f>
        <v>-78016.459999999963</v>
      </c>
      <c r="BJ23" s="60">
        <v>163</v>
      </c>
      <c r="BK23" s="60">
        <v>48</v>
      </c>
      <c r="BM23" s="13">
        <f>124699</f>
        <v>124699</v>
      </c>
      <c r="BN23" s="13">
        <v>-38338000</v>
      </c>
      <c r="BO23" s="13">
        <v>2001549</v>
      </c>
      <c r="BP23" s="13">
        <f>109805000-AK23</f>
        <v>-7000</v>
      </c>
      <c r="BQ23" s="13">
        <f>45552000+367551000-AT23</f>
        <v>-352000</v>
      </c>
      <c r="BR23" s="81">
        <f t="shared" si="26"/>
        <v>49169718</v>
      </c>
      <c r="BS23" s="80">
        <f t="shared" ref="BS23:BS26" si="28">SUM(BR12:BR23)</f>
        <v>623536502</v>
      </c>
      <c r="BT23" s="81">
        <f t="shared" si="22"/>
        <v>838992549</v>
      </c>
      <c r="BU23" s="80">
        <f t="shared" ref="BU23:BU26" si="29">SUM(BT12:BT23)</f>
        <v>12801318967</v>
      </c>
      <c r="BV23" s="7">
        <f t="shared" ref="BV23:BV26" si="30">BS23/BU23</f>
        <v>4.8708770057787752E-2</v>
      </c>
      <c r="BY23" s="85"/>
      <c r="BZ23" s="13"/>
    </row>
    <row r="24" spans="1:79">
      <c r="A24" s="8">
        <v>40664</v>
      </c>
      <c r="B24" s="12">
        <v>27044008.690000001</v>
      </c>
      <c r="C24" s="12">
        <v>8440635.25</v>
      </c>
      <c r="D24" s="12">
        <v>2223773.12</v>
      </c>
      <c r="E24" s="12">
        <v>0</v>
      </c>
      <c r="F24" s="12">
        <v>333055.96999999997</v>
      </c>
      <c r="G24" s="12">
        <v>0</v>
      </c>
      <c r="H24" s="12">
        <v>747.12</v>
      </c>
      <c r="I24" s="12">
        <v>333055.96999999997</v>
      </c>
      <c r="J24" s="12">
        <v>86969.49</v>
      </c>
      <c r="K24" s="12">
        <v>550680.77</v>
      </c>
      <c r="L24" s="12">
        <v>128270.65</v>
      </c>
      <c r="M24" s="12">
        <f>1444618.58+134601.27</f>
        <v>1579219.85</v>
      </c>
      <c r="N24" s="12">
        <v>632989</v>
      </c>
      <c r="O24" s="12">
        <v>619231</v>
      </c>
      <c r="P24" s="12">
        <v>22131</v>
      </c>
      <c r="Q24" s="12">
        <f t="shared" si="12"/>
        <v>-8373</v>
      </c>
      <c r="R24" s="12">
        <v>0</v>
      </c>
      <c r="S24" s="12">
        <v>4716407.2</v>
      </c>
      <c r="T24" s="12">
        <v>230066.81</v>
      </c>
      <c r="U24" s="12">
        <v>498.66</v>
      </c>
      <c r="V24" s="12">
        <v>2448554.4</v>
      </c>
      <c r="W24" s="12">
        <v>0</v>
      </c>
      <c r="X24" s="12">
        <v>0</v>
      </c>
      <c r="Y24" s="12">
        <v>0</v>
      </c>
      <c r="Z24" s="12">
        <v>8349497.4299999997</v>
      </c>
      <c r="AA24" s="12">
        <v>4612960.67</v>
      </c>
      <c r="AB24" s="12">
        <v>340082.85</v>
      </c>
      <c r="AC24" s="12">
        <v>27813.82</v>
      </c>
      <c r="AD24" s="12">
        <v>0</v>
      </c>
      <c r="AE24" s="12">
        <v>0</v>
      </c>
      <c r="AF24" s="12">
        <v>0</v>
      </c>
      <c r="AG24" s="13">
        <v>1279224000</v>
      </c>
      <c r="AH24" s="13">
        <v>364837000</v>
      </c>
      <c r="AI24" s="13">
        <v>46500000</v>
      </c>
      <c r="AJ24" s="13">
        <v>49238000</v>
      </c>
      <c r="AK24" s="13">
        <v>166620000</v>
      </c>
      <c r="AL24" s="13">
        <v>0</v>
      </c>
      <c r="AM24" s="13">
        <v>0</v>
      </c>
      <c r="AN24" s="12">
        <v>0</v>
      </c>
      <c r="AO24" s="13">
        <v>8230000</v>
      </c>
      <c r="AP24" s="13">
        <v>86379000</v>
      </c>
      <c r="AQ24" s="13">
        <v>0</v>
      </c>
      <c r="AR24" s="13">
        <v>0</v>
      </c>
      <c r="AS24" s="12">
        <v>0</v>
      </c>
      <c r="AT24" s="13">
        <v>336996000</v>
      </c>
      <c r="AU24" s="13">
        <v>211197000</v>
      </c>
      <c r="AV24" s="13">
        <v>882000</v>
      </c>
      <c r="AW24" s="13">
        <v>0</v>
      </c>
      <c r="AX24" s="13">
        <v>851042663</v>
      </c>
      <c r="AY24" s="73">
        <v>5.3600000000000002E-2</v>
      </c>
      <c r="AZ24" s="47">
        <v>2.0580000000000001E-2</v>
      </c>
      <c r="BA24" s="15">
        <f t="shared" ref="BA24:BA29" si="31">ROUND(BB24/BC24,5)-AZ24</f>
        <v>4.1700000000000001E-3</v>
      </c>
      <c r="BB24" s="12">
        <f>BF24+BG24-BH24-BI24+SUM(AE24:AF24)</f>
        <v>23729430.6591</v>
      </c>
      <c r="BC24" s="45">
        <f t="shared" si="20"/>
        <v>958807304</v>
      </c>
      <c r="BF24" s="44">
        <f t="shared" si="21"/>
        <v>27302230.93</v>
      </c>
      <c r="BG24" s="44">
        <f t="shared" si="17"/>
        <v>4716407.2</v>
      </c>
      <c r="BH24" s="44">
        <f t="shared" si="18"/>
        <v>8383183.8308999995</v>
      </c>
      <c r="BI24" s="49">
        <f t="shared" si="27"/>
        <v>-93976.360000000102</v>
      </c>
      <c r="BJ24" s="60">
        <v>113</v>
      </c>
      <c r="BK24" s="60">
        <v>162</v>
      </c>
      <c r="BM24" s="13">
        <f>110281+5747290</f>
        <v>5857571</v>
      </c>
      <c r="BN24" s="13">
        <v>89131000</v>
      </c>
      <c r="BO24" s="13">
        <v>649076</v>
      </c>
      <c r="BP24" s="13">
        <f>166658000-AK24</f>
        <v>38000</v>
      </c>
      <c r="BQ24" s="13">
        <f>125098000+212079000-AT24</f>
        <v>181000</v>
      </c>
      <c r="BR24" s="81">
        <f t="shared" si="26"/>
        <v>67584842</v>
      </c>
      <c r="BS24" s="80">
        <f t="shared" si="28"/>
        <v>685862712</v>
      </c>
      <c r="BT24" s="81">
        <f t="shared" si="22"/>
        <v>1013616076</v>
      </c>
      <c r="BU24" s="80">
        <f t="shared" si="29"/>
        <v>12805559043</v>
      </c>
      <c r="BV24" s="7">
        <f t="shared" si="30"/>
        <v>5.3559763357220888E-2</v>
      </c>
      <c r="BY24" s="85"/>
      <c r="BZ24" s="13"/>
    </row>
    <row r="25" spans="1:79">
      <c r="A25" s="8">
        <v>40695</v>
      </c>
      <c r="B25" s="12">
        <v>28482596.399999999</v>
      </c>
      <c r="C25" s="12">
        <v>9211811.3399999999</v>
      </c>
      <c r="D25" s="12">
        <v>2427086.17</v>
      </c>
      <c r="E25" s="12">
        <v>0</v>
      </c>
      <c r="F25" s="12">
        <v>115843.37</v>
      </c>
      <c r="G25" s="12">
        <v>0</v>
      </c>
      <c r="H25" s="12">
        <v>0</v>
      </c>
      <c r="I25" s="12">
        <v>115843.37</v>
      </c>
      <c r="J25" s="12">
        <v>30383.279999999999</v>
      </c>
      <c r="K25" s="12">
        <v>690652.51</v>
      </c>
      <c r="L25" s="12">
        <v>246892.86</v>
      </c>
      <c r="M25" s="12">
        <f>1695491.8+271877.12</f>
        <v>1967368.92</v>
      </c>
      <c r="N25" s="12">
        <v>1644186</v>
      </c>
      <c r="O25" s="12">
        <v>1612941</v>
      </c>
      <c r="P25" s="12">
        <v>298716</v>
      </c>
      <c r="Q25" s="12">
        <f t="shared" si="12"/>
        <v>-267471</v>
      </c>
      <c r="R25" s="12">
        <v>0</v>
      </c>
      <c r="S25" s="9">
        <f>5234998</f>
        <v>5234998</v>
      </c>
      <c r="T25" s="12">
        <v>846613.47</v>
      </c>
      <c r="U25" s="12">
        <v>4202.57</v>
      </c>
      <c r="V25" s="12">
        <v>2027919.25</v>
      </c>
      <c r="W25" s="12">
        <v>0</v>
      </c>
      <c r="X25" s="12">
        <v>0</v>
      </c>
      <c r="Y25" s="12">
        <v>0</v>
      </c>
      <c r="Z25" s="12">
        <v>5620353.5700000003</v>
      </c>
      <c r="AA25" s="12">
        <v>2783475.54</v>
      </c>
      <c r="AB25" s="12">
        <v>226266.66</v>
      </c>
      <c r="AC25" s="12">
        <v>45629.96</v>
      </c>
      <c r="AD25" s="12">
        <v>0</v>
      </c>
      <c r="AE25" s="12">
        <v>8952.08</v>
      </c>
      <c r="AF25" s="12">
        <v>0</v>
      </c>
      <c r="AG25" s="13">
        <v>1363382000</v>
      </c>
      <c r="AH25" s="13">
        <v>411617000</v>
      </c>
      <c r="AI25" s="13">
        <v>52944000</v>
      </c>
      <c r="AJ25" s="13">
        <v>55076000</v>
      </c>
      <c r="AK25" s="10">
        <v>172844000</v>
      </c>
      <c r="AL25" s="10">
        <v>147832</v>
      </c>
      <c r="AM25" s="13">
        <v>0</v>
      </c>
      <c r="AN25" s="12">
        <v>0</v>
      </c>
      <c r="AO25" s="13">
        <v>21663000</v>
      </c>
      <c r="AP25" s="13">
        <v>75035000</v>
      </c>
      <c r="AQ25" s="13">
        <v>0</v>
      </c>
      <c r="AR25" s="13">
        <v>0</v>
      </c>
      <c r="AS25" s="12">
        <v>0</v>
      </c>
      <c r="AT25" s="10">
        <v>225485000</v>
      </c>
      <c r="AU25" s="13">
        <v>128241000</v>
      </c>
      <c r="AV25" s="13">
        <v>1000000</v>
      </c>
      <c r="AW25" s="13">
        <v>0</v>
      </c>
      <c r="AX25" s="13">
        <v>1092544825</v>
      </c>
      <c r="AY25" s="14">
        <v>5.7599999999999998E-2</v>
      </c>
      <c r="AZ25" s="47">
        <v>2.0580000000000001E-2</v>
      </c>
      <c r="BA25" s="15">
        <f t="shared" si="31"/>
        <v>3.3399999999999992E-3</v>
      </c>
      <c r="BB25" s="12">
        <f t="shared" ref="BB25:BB32" si="32">BF25+BG25-BH25-BI25+AF25</f>
        <v>27104278.875900004</v>
      </c>
      <c r="BC25" s="45">
        <f t="shared" ref="BC25:BC34" si="33">SUM(AG25,-AI25,-AJ25,AK25,-AL25)-AT25-ROUND((SUM(AG25,-AI25,-AJ25,AK25,-AT25,-AL25)*AY25),0)</f>
        <v>1133304954</v>
      </c>
      <c r="BF25" s="44">
        <f t="shared" ref="BF25:BF34" si="34">ROUND(B25-(C25*(IF(AH25=0,0,ROUND((AI25+AJ25+((AI25+AJ25)*0.01))/AH25,5)))),2)+F25-G25+H25-SUM(IF(AH25=0,0,ROUND(I25*ROUND((AI25+AJ25+((AI25+AJ25)*0.01))/AH25,5),2)))+SUM(K25:M25)+Q25</f>
        <v>28763588.170000002</v>
      </c>
      <c r="BG25" s="44">
        <f t="shared" ref="BG25:BG34" si="35">S25-R25-AE25</f>
        <v>5226045.92</v>
      </c>
      <c r="BH25" s="44">
        <f t="shared" si="18"/>
        <v>5646003.3841000004</v>
      </c>
      <c r="BI25" s="49">
        <f t="shared" si="27"/>
        <v>1239351.8299999996</v>
      </c>
      <c r="BJ25" s="60">
        <v>0</v>
      </c>
      <c r="BK25" s="60">
        <v>355</v>
      </c>
      <c r="BM25" s="13">
        <f>331039+1496835+330123</f>
        <v>2157997</v>
      </c>
      <c r="BN25" s="13">
        <v>34350000</v>
      </c>
      <c r="BO25" s="13">
        <v>776200</v>
      </c>
      <c r="BP25" s="13">
        <f>172903000-AK25</f>
        <v>59000</v>
      </c>
      <c r="BQ25" s="13">
        <f>96596000+129241000-AT25</f>
        <v>352000</v>
      </c>
      <c r="BR25" s="81">
        <f t="shared" si="26"/>
        <v>74151378</v>
      </c>
      <c r="BS25" s="80">
        <f t="shared" si="28"/>
        <v>729825631</v>
      </c>
      <c r="BT25" s="81">
        <f t="shared" si="22"/>
        <v>1203204200</v>
      </c>
      <c r="BU25" s="80">
        <f t="shared" si="29"/>
        <v>12667032243</v>
      </c>
      <c r="BV25" s="7">
        <f t="shared" si="30"/>
        <v>5.761615009729789E-2</v>
      </c>
      <c r="BY25" s="85"/>
      <c r="BZ25" s="13"/>
      <c r="CA25" s="80"/>
    </row>
    <row r="26" spans="1:79">
      <c r="A26" s="8">
        <v>40725</v>
      </c>
      <c r="B26" s="12">
        <v>34185324.039999999</v>
      </c>
      <c r="C26" s="12">
        <v>9066519.2100000009</v>
      </c>
      <c r="D26" s="12">
        <v>2382938.4300000002</v>
      </c>
      <c r="E26" s="12">
        <v>0</v>
      </c>
      <c r="F26" s="12">
        <f>245401.44+210.96</f>
        <v>245612.4</v>
      </c>
      <c r="G26" s="12">
        <v>210.96</v>
      </c>
      <c r="H26" s="12">
        <v>0</v>
      </c>
      <c r="I26" s="12">
        <v>245401.44</v>
      </c>
      <c r="J26" s="12">
        <v>64494.76</v>
      </c>
      <c r="K26" s="12">
        <v>623711.84</v>
      </c>
      <c r="L26" s="12">
        <v>394462.49</v>
      </c>
      <c r="M26" s="12">
        <f>2530952.98+533540.05</f>
        <v>3064493.0300000003</v>
      </c>
      <c r="N26" s="12">
        <v>3306285</v>
      </c>
      <c r="O26" s="12">
        <v>3242507</v>
      </c>
      <c r="P26" s="12">
        <v>787230</v>
      </c>
      <c r="Q26" s="12">
        <f t="shared" si="12"/>
        <v>-723452</v>
      </c>
      <c r="R26" s="12">
        <v>10021.67</v>
      </c>
      <c r="S26" s="12">
        <f>5493442.95</f>
        <v>5493442.9500000002</v>
      </c>
      <c r="T26" s="12">
        <v>323957.52</v>
      </c>
      <c r="U26" s="12">
        <v>2119</v>
      </c>
      <c r="V26" s="12">
        <v>2183841.7000000002</v>
      </c>
      <c r="W26" s="12">
        <v>0</v>
      </c>
      <c r="X26" s="12">
        <v>0</v>
      </c>
      <c r="Y26" s="12">
        <v>0</v>
      </c>
      <c r="Z26" s="12">
        <v>6810101.0700000003</v>
      </c>
      <c r="AA26" s="12">
        <v>3775334.39</v>
      </c>
      <c r="AB26" s="12">
        <v>281308.2</v>
      </c>
      <c r="AC26" s="12">
        <v>33493.449999999997</v>
      </c>
      <c r="AD26" s="12">
        <v>0</v>
      </c>
      <c r="AE26" s="12">
        <v>25222.99</v>
      </c>
      <c r="AF26" s="12">
        <v>0</v>
      </c>
      <c r="AG26" s="13">
        <v>1642849000</v>
      </c>
      <c r="AH26" s="13">
        <v>404033000</v>
      </c>
      <c r="AI26" s="13">
        <v>51350000</v>
      </c>
      <c r="AJ26" s="13">
        <v>54450000</v>
      </c>
      <c r="AK26" s="13">
        <v>170221000</v>
      </c>
      <c r="AL26" s="13">
        <v>457032</v>
      </c>
      <c r="AM26" s="13">
        <v>0</v>
      </c>
      <c r="AN26" s="12">
        <v>0</v>
      </c>
      <c r="AO26" s="13">
        <v>8108000</v>
      </c>
      <c r="AP26" s="13">
        <v>76982000</v>
      </c>
      <c r="AQ26" s="13">
        <v>0</v>
      </c>
      <c r="AR26" s="13">
        <v>0</v>
      </c>
      <c r="AS26" s="12">
        <v>0</v>
      </c>
      <c r="AT26" s="13">
        <v>262835000</v>
      </c>
      <c r="AU26" s="13">
        <v>165231000</v>
      </c>
      <c r="AV26" s="13">
        <v>714000</v>
      </c>
      <c r="AW26" s="13">
        <v>0</v>
      </c>
      <c r="AX26" s="13">
        <v>1154605504</v>
      </c>
      <c r="AY26" s="14">
        <v>6.2899999999999998E-2</v>
      </c>
      <c r="AZ26" s="47">
        <v>2.215E-2</v>
      </c>
      <c r="BA26" s="15">
        <f t="shared" si="31"/>
        <v>2.3400000000000018E-3</v>
      </c>
      <c r="BB26" s="12">
        <f t="shared" si="32"/>
        <v>33133448.969699994</v>
      </c>
      <c r="BC26" s="45">
        <f t="shared" si="33"/>
        <v>1353151754</v>
      </c>
      <c r="BF26" s="44">
        <f t="shared" si="34"/>
        <v>35327124.07</v>
      </c>
      <c r="BG26" s="44">
        <f t="shared" si="35"/>
        <v>5458198.29</v>
      </c>
      <c r="BH26" s="44">
        <f t="shared" si="18"/>
        <v>6837300.7203000002</v>
      </c>
      <c r="BI26" s="49">
        <f t="shared" si="27"/>
        <v>814572.66999999993</v>
      </c>
      <c r="BJ26" s="60">
        <v>0</v>
      </c>
      <c r="BK26" s="60">
        <v>454</v>
      </c>
      <c r="BM26" s="13">
        <f>140411+659657</f>
        <v>800068</v>
      </c>
      <c r="BN26" s="13">
        <v>188543000</v>
      </c>
      <c r="BO26" s="13">
        <v>1266788</v>
      </c>
      <c r="BP26" s="13">
        <f>170214000-AK26</f>
        <v>-7000</v>
      </c>
      <c r="BQ26" s="13">
        <f>96914000+165945000-AT26</f>
        <v>24000</v>
      </c>
      <c r="BR26" s="81">
        <f t="shared" si="26"/>
        <v>101722216</v>
      </c>
      <c r="BS26" s="80">
        <f t="shared" si="28"/>
        <v>799643257</v>
      </c>
      <c r="BT26" s="81">
        <f t="shared" si="22"/>
        <v>1445670788</v>
      </c>
      <c r="BU26" s="80">
        <f t="shared" si="29"/>
        <v>12718799031</v>
      </c>
      <c r="BV26" s="7">
        <f t="shared" si="30"/>
        <v>6.2870971940904158E-2</v>
      </c>
    </row>
    <row r="27" spans="1:79">
      <c r="A27" s="8">
        <v>40756</v>
      </c>
      <c r="B27" s="12">
        <v>32792012.91</v>
      </c>
      <c r="C27" s="12">
        <v>8379161.4000000004</v>
      </c>
      <c r="D27" s="12">
        <v>2192802.2799999998</v>
      </c>
      <c r="E27" s="12">
        <v>0</v>
      </c>
      <c r="F27" s="12">
        <v>295252.25</v>
      </c>
      <c r="G27" s="12">
        <v>0</v>
      </c>
      <c r="H27" s="12">
        <v>0</v>
      </c>
      <c r="I27" s="12">
        <v>295252.25</v>
      </c>
      <c r="J27" s="12">
        <v>76670.91</v>
      </c>
      <c r="K27" s="12">
        <v>785581.23</v>
      </c>
      <c r="L27" s="12">
        <v>241426.31</v>
      </c>
      <c r="M27" s="12">
        <v>2299367.42</v>
      </c>
      <c r="N27" s="46">
        <v>4884846.84</v>
      </c>
      <c r="O27" s="46">
        <v>4718803.33</v>
      </c>
      <c r="P27" s="46">
        <v>985364.44</v>
      </c>
      <c r="Q27" s="13">
        <f t="shared" si="12"/>
        <v>-819320.93000000017</v>
      </c>
      <c r="R27" s="12">
        <v>24393.71</v>
      </c>
      <c r="S27" s="12">
        <f>4002468.46</f>
        <v>4002468.46</v>
      </c>
      <c r="T27" s="12">
        <v>165932.42000000001</v>
      </c>
      <c r="U27" s="12">
        <v>295.86</v>
      </c>
      <c r="V27" s="12">
        <v>1298071.33</v>
      </c>
      <c r="W27" s="12">
        <v>0</v>
      </c>
      <c r="X27" s="12">
        <v>0</v>
      </c>
      <c r="Y27" s="12">
        <v>0</v>
      </c>
      <c r="Z27" s="12">
        <v>6529229.3099999996</v>
      </c>
      <c r="AA27" s="12">
        <v>4858128.97</v>
      </c>
      <c r="AB27" s="12">
        <v>181388.87</v>
      </c>
      <c r="AC27" s="12">
        <v>7254.9</v>
      </c>
      <c r="AD27" s="12">
        <v>0</v>
      </c>
      <c r="AE27" s="12">
        <v>45104.34</v>
      </c>
      <c r="AF27" s="12">
        <v>0</v>
      </c>
      <c r="AG27" s="13">
        <v>1561825000</v>
      </c>
      <c r="AH27" s="13">
        <v>379158000</v>
      </c>
      <c r="AI27" s="13">
        <v>48543000</v>
      </c>
      <c r="AJ27" s="13">
        <v>50337000</v>
      </c>
      <c r="AK27" s="13">
        <v>121825000</v>
      </c>
      <c r="AL27" s="13">
        <v>834784</v>
      </c>
      <c r="AM27" s="13">
        <v>0</v>
      </c>
      <c r="AN27" s="12">
        <v>0</v>
      </c>
      <c r="AO27" s="13">
        <v>3723000</v>
      </c>
      <c r="AP27" s="13">
        <v>43067000</v>
      </c>
      <c r="AQ27" s="13">
        <v>0</v>
      </c>
      <c r="AR27" s="13">
        <v>0</v>
      </c>
      <c r="AS27" s="12">
        <v>0</v>
      </c>
      <c r="AT27" s="13">
        <v>263978000</v>
      </c>
      <c r="AU27" s="13">
        <v>214643000</v>
      </c>
      <c r="AV27" s="13">
        <v>177000</v>
      </c>
      <c r="AW27" s="13">
        <v>0</v>
      </c>
      <c r="AX27" s="13">
        <v>1351861705</v>
      </c>
      <c r="AY27" s="14">
        <v>6.7699999999999996E-2</v>
      </c>
      <c r="AZ27" s="47">
        <v>2.215E-2</v>
      </c>
      <c r="BA27" s="15">
        <f t="shared" si="31"/>
        <v>2.2100000000000002E-3</v>
      </c>
      <c r="BB27" s="12">
        <f t="shared" si="32"/>
        <v>29971203.804299995</v>
      </c>
      <c r="BC27" s="45">
        <f t="shared" si="33"/>
        <v>1230596112</v>
      </c>
      <c r="BF27" s="44">
        <f t="shared" si="34"/>
        <v>33309478.640000001</v>
      </c>
      <c r="BG27" s="44">
        <f t="shared" si="35"/>
        <v>3932970.41</v>
      </c>
      <c r="BH27" s="44">
        <f t="shared" si="18"/>
        <v>6544053.8756999997</v>
      </c>
      <c r="BI27" s="49">
        <f t="shared" si="27"/>
        <v>727191.37000000011</v>
      </c>
      <c r="BJ27" s="60">
        <v>0</v>
      </c>
      <c r="BK27" s="60">
        <v>434</v>
      </c>
      <c r="BM27" s="13">
        <f>137802+1073536</f>
        <v>1211338</v>
      </c>
      <c r="BN27" s="13">
        <v>-111492000</v>
      </c>
      <c r="BO27" s="13">
        <v>1118687</v>
      </c>
      <c r="BP27" s="13">
        <f>121750000-AK27</f>
        <v>-75000</v>
      </c>
      <c r="BQ27" s="13">
        <f>49140000+214820000-AT27</f>
        <v>-18000</v>
      </c>
      <c r="BR27" s="81">
        <f t="shared" si="26"/>
        <v>80272644</v>
      </c>
      <c r="BS27" s="80">
        <f t="shared" ref="BS27:BS34" si="36">SUM(BR16:BR27)</f>
        <v>861872986</v>
      </c>
      <c r="BT27" s="81">
        <f t="shared" si="22"/>
        <v>1321853687</v>
      </c>
      <c r="BU27" s="80">
        <f t="shared" ref="BU27:BU32" si="37">SUM(BT16:BT27)</f>
        <v>12730308718</v>
      </c>
      <c r="BV27" s="7">
        <f t="shared" ref="BV27:BV32" si="38">BS27/BU27</f>
        <v>6.7702441872549091E-2</v>
      </c>
    </row>
    <row r="28" spans="1:79">
      <c r="A28" s="8">
        <v>40787</v>
      </c>
      <c r="B28" s="12">
        <v>29925511.449999999</v>
      </c>
      <c r="C28" s="12">
        <v>8429681.7100000009</v>
      </c>
      <c r="D28" s="12">
        <v>2296699.9900000002</v>
      </c>
      <c r="E28" s="12">
        <v>0</v>
      </c>
      <c r="F28" s="12">
        <v>152740.69</v>
      </c>
      <c r="G28" s="12">
        <v>0</v>
      </c>
      <c r="H28" s="12">
        <v>0</v>
      </c>
      <c r="I28" s="12">
        <v>152740.69</v>
      </c>
      <c r="J28" s="12">
        <v>39152.019999999997</v>
      </c>
      <c r="K28" s="12">
        <v>493384.39</v>
      </c>
      <c r="L28" s="12">
        <v>119589.28</v>
      </c>
      <c r="M28" s="12">
        <v>1161905.54</v>
      </c>
      <c r="N28" s="12">
        <v>875314.56</v>
      </c>
      <c r="O28" s="12">
        <v>1057524.08</v>
      </c>
      <c r="P28" s="12">
        <v>176.46</v>
      </c>
      <c r="Q28" s="13">
        <f t="shared" si="12"/>
        <v>-182385.98</v>
      </c>
      <c r="R28" s="12">
        <v>158.62</v>
      </c>
      <c r="S28" s="12">
        <v>4002190.85</v>
      </c>
      <c r="T28" s="12">
        <v>0</v>
      </c>
      <c r="U28" s="12">
        <v>0</v>
      </c>
      <c r="V28" s="12">
        <v>2323327.25</v>
      </c>
      <c r="W28" s="12">
        <v>0</v>
      </c>
      <c r="X28" s="12">
        <v>0</v>
      </c>
      <c r="Y28" s="12">
        <v>0</v>
      </c>
      <c r="Z28" s="12">
        <v>11033109.83</v>
      </c>
      <c r="AA28" s="12">
        <v>8069822.5999999996</v>
      </c>
      <c r="AB28" s="12">
        <v>209100.36</v>
      </c>
      <c r="AC28" s="12">
        <v>0</v>
      </c>
      <c r="AD28" s="12">
        <v>0</v>
      </c>
      <c r="AE28" s="12">
        <v>9238.8700000000008</v>
      </c>
      <c r="AF28" s="12">
        <v>0</v>
      </c>
      <c r="AG28" s="13">
        <v>1399049000</v>
      </c>
      <c r="AH28" s="13">
        <v>374676000</v>
      </c>
      <c r="AI28" s="13">
        <v>50304000</v>
      </c>
      <c r="AJ28" s="13">
        <v>51399000</v>
      </c>
      <c r="AK28" s="13">
        <v>143777000</v>
      </c>
      <c r="AL28" s="13">
        <v>186880</v>
      </c>
      <c r="AM28" s="13">
        <v>0</v>
      </c>
      <c r="AN28" s="12">
        <v>0</v>
      </c>
      <c r="AO28" s="13">
        <v>0</v>
      </c>
      <c r="AP28" s="13">
        <v>90092000</v>
      </c>
      <c r="AQ28" s="13">
        <v>0</v>
      </c>
      <c r="AR28" s="13">
        <v>0</v>
      </c>
      <c r="AS28" s="12">
        <v>0</v>
      </c>
      <c r="AT28" s="13">
        <v>475967000</v>
      </c>
      <c r="AU28" s="13">
        <v>367228000</v>
      </c>
      <c r="AV28" s="13">
        <v>0</v>
      </c>
      <c r="AW28" s="13">
        <v>0</v>
      </c>
      <c r="AX28" s="13">
        <v>1116285941</v>
      </c>
      <c r="AY28" s="14">
        <v>6.2799999999999995E-2</v>
      </c>
      <c r="AZ28" s="47">
        <v>2.215E-2</v>
      </c>
      <c r="BA28" s="15">
        <f t="shared" si="31"/>
        <v>3.0699999999999998E-3</v>
      </c>
      <c r="BB28" s="12">
        <f t="shared" si="32"/>
        <v>22804633.401300002</v>
      </c>
      <c r="BC28" s="45">
        <f t="shared" si="33"/>
        <v>904369059</v>
      </c>
      <c r="BF28" s="44">
        <f t="shared" si="34"/>
        <v>29317788.440000001</v>
      </c>
      <c r="BG28" s="44">
        <f t="shared" si="35"/>
        <v>3992793.36</v>
      </c>
      <c r="BH28" s="44">
        <f t="shared" si="18"/>
        <v>11060651.6987</v>
      </c>
      <c r="BI28" s="49">
        <f t="shared" si="27"/>
        <v>-554703.30000000028</v>
      </c>
      <c r="BJ28" s="60">
        <v>0</v>
      </c>
      <c r="BK28" s="60">
        <v>133</v>
      </c>
      <c r="BM28" s="13">
        <v>1666934</v>
      </c>
      <c r="BN28" s="62">
        <v>-209277000</v>
      </c>
      <c r="BO28" s="62">
        <v>775188</v>
      </c>
      <c r="BP28" s="13">
        <f>143765000-AK28</f>
        <v>-12000</v>
      </c>
      <c r="BQ28" s="62">
        <f>475777000-AT28</f>
        <v>-190000</v>
      </c>
      <c r="BR28" s="81">
        <f t="shared" si="26"/>
        <v>57433313</v>
      </c>
      <c r="BS28" s="80">
        <f t="shared" si="36"/>
        <v>791454426</v>
      </c>
      <c r="BT28" s="81">
        <f t="shared" si="22"/>
        <v>966109188</v>
      </c>
      <c r="BU28" s="80">
        <f t="shared" si="37"/>
        <v>12596137906</v>
      </c>
      <c r="BV28" s="7">
        <f t="shared" si="38"/>
        <v>6.283310264672487E-2</v>
      </c>
    </row>
    <row r="29" spans="1:79">
      <c r="A29" s="8">
        <v>40817</v>
      </c>
      <c r="B29" s="12">
        <v>25861565.59</v>
      </c>
      <c r="C29" s="12">
        <v>3656932.51</v>
      </c>
      <c r="D29" s="12">
        <v>956363.84</v>
      </c>
      <c r="E29" s="12">
        <v>0</v>
      </c>
      <c r="F29" s="12">
        <v>49466.15</v>
      </c>
      <c r="G29" s="12">
        <v>13.26</v>
      </c>
      <c r="H29" s="12">
        <v>0</v>
      </c>
      <c r="I29" s="12">
        <v>49452.89</v>
      </c>
      <c r="J29" s="12">
        <v>13352.85</v>
      </c>
      <c r="K29" s="12">
        <v>610554.37</v>
      </c>
      <c r="L29" s="12">
        <v>54746.720000000001</v>
      </c>
      <c r="M29" s="12">
        <v>456913.58</v>
      </c>
      <c r="N29" s="12">
        <v>840369</v>
      </c>
      <c r="O29" s="12">
        <v>829101</v>
      </c>
      <c r="P29" s="12">
        <v>466</v>
      </c>
      <c r="Q29" s="12">
        <f t="shared" si="12"/>
        <v>0</v>
      </c>
      <c r="R29" s="12">
        <v>0</v>
      </c>
      <c r="S29" s="12">
        <v>5430124.5800000001</v>
      </c>
      <c r="T29" s="12">
        <v>55056.31</v>
      </c>
      <c r="U29" s="12">
        <v>0</v>
      </c>
      <c r="V29" s="12">
        <v>3963562.69</v>
      </c>
      <c r="W29" s="12">
        <v>0</v>
      </c>
      <c r="X29" s="12">
        <v>0</v>
      </c>
      <c r="Y29" s="12">
        <v>0</v>
      </c>
      <c r="Z29" s="12">
        <v>11628815.300000001</v>
      </c>
      <c r="AA29" s="12">
        <v>6301153.3099999996</v>
      </c>
      <c r="AB29" s="12">
        <v>324370.84999999998</v>
      </c>
      <c r="AC29" s="12">
        <v>768.59</v>
      </c>
      <c r="AD29" s="12">
        <v>0</v>
      </c>
      <c r="AE29" s="12">
        <v>0</v>
      </c>
      <c r="AF29" s="12">
        <v>0</v>
      </c>
      <c r="AG29" s="13">
        <v>1241315000</v>
      </c>
      <c r="AH29" s="13">
        <v>177035000</v>
      </c>
      <c r="AI29" s="13">
        <v>22532000</v>
      </c>
      <c r="AJ29" s="13">
        <v>23534000</v>
      </c>
      <c r="AK29" s="13">
        <v>203407000</v>
      </c>
      <c r="AL29" s="13">
        <v>0</v>
      </c>
      <c r="AM29" s="13">
        <v>0</v>
      </c>
      <c r="AN29" s="12">
        <v>0</v>
      </c>
      <c r="AO29" s="13">
        <v>2102000</v>
      </c>
      <c r="AP29" s="13">
        <v>158275000</v>
      </c>
      <c r="AQ29" s="13">
        <v>0</v>
      </c>
      <c r="AR29" s="13">
        <v>0</v>
      </c>
      <c r="AS29" s="12">
        <v>0</v>
      </c>
      <c r="AT29" s="13">
        <v>504154000</v>
      </c>
      <c r="AU29" s="13">
        <v>298394000</v>
      </c>
      <c r="AV29" s="13">
        <v>34000</v>
      </c>
      <c r="AW29" s="13">
        <v>0</v>
      </c>
      <c r="AX29" s="13">
        <v>878367270</v>
      </c>
      <c r="AY29" s="14">
        <v>5.62E-2</v>
      </c>
      <c r="AZ29" s="47">
        <v>2.215E-2</v>
      </c>
      <c r="BA29" s="15">
        <f t="shared" si="31"/>
        <v>2.2399999999999989E-3</v>
      </c>
      <c r="BB29" s="12">
        <f t="shared" si="32"/>
        <v>20588867.804499999</v>
      </c>
      <c r="BC29" s="45">
        <f t="shared" si="33"/>
        <v>844230988</v>
      </c>
      <c r="BF29" s="44">
        <f t="shared" si="34"/>
        <v>26059158.009999998</v>
      </c>
      <c r="BG29" s="44">
        <f t="shared" si="35"/>
        <v>5430124.5800000001</v>
      </c>
      <c r="BH29" s="44">
        <f t="shared" si="18"/>
        <v>11678840.525500001</v>
      </c>
      <c r="BI29" s="49">
        <f t="shared" si="27"/>
        <v>-778425.74000000022</v>
      </c>
      <c r="BJ29" s="60">
        <v>248</v>
      </c>
      <c r="BK29" s="60">
        <v>0</v>
      </c>
      <c r="BM29" s="13">
        <f>79465+932853</f>
        <v>1012318</v>
      </c>
      <c r="BN29" s="13">
        <v>-44691000</v>
      </c>
      <c r="BO29" s="13">
        <v>-28436000</v>
      </c>
      <c r="BP29" s="13">
        <f>203446000-AK29</f>
        <v>39000</v>
      </c>
      <c r="BQ29" s="13">
        <f>205693000+298428000-AT29</f>
        <v>-33000</v>
      </c>
      <c r="BR29" s="81">
        <f t="shared" si="26"/>
        <v>31449412</v>
      </c>
      <c r="BS29" s="80">
        <f t="shared" si="36"/>
        <v>706889671</v>
      </c>
      <c r="BT29" s="81">
        <f t="shared" si="22"/>
        <v>866138000</v>
      </c>
      <c r="BU29" s="80">
        <f t="shared" si="37"/>
        <v>12577536906</v>
      </c>
      <c r="BV29" s="7">
        <f t="shared" si="38"/>
        <v>5.62025519211782E-2</v>
      </c>
    </row>
    <row r="30" spans="1:79">
      <c r="A30" s="8">
        <v>40848</v>
      </c>
      <c r="B30" s="12">
        <v>26589893.199999999</v>
      </c>
      <c r="C30" s="12">
        <v>3089503.27</v>
      </c>
      <c r="D30" s="12">
        <v>791810.03</v>
      </c>
      <c r="E30" s="12">
        <v>0</v>
      </c>
      <c r="F30" s="12">
        <v>519378.95</v>
      </c>
      <c r="G30" s="12">
        <v>19.89</v>
      </c>
      <c r="H30" s="12">
        <v>0</v>
      </c>
      <c r="I30" s="12">
        <v>519155.77</v>
      </c>
      <c r="J30" s="12">
        <v>133094.82999999999</v>
      </c>
      <c r="K30" s="12">
        <v>535439.78</v>
      </c>
      <c r="L30" s="12">
        <v>73676.84</v>
      </c>
      <c r="M30" s="12">
        <v>697795.97</v>
      </c>
      <c r="N30" s="12">
        <v>1815732</v>
      </c>
      <c r="O30" s="12">
        <v>1631421</v>
      </c>
      <c r="P30" s="12">
        <v>1598</v>
      </c>
      <c r="Q30" s="12">
        <f t="shared" si="12"/>
        <v>0</v>
      </c>
      <c r="R30" s="12">
        <v>0</v>
      </c>
      <c r="S30" s="12">
        <v>3187944.65</v>
      </c>
      <c r="T30" s="12">
        <v>0</v>
      </c>
      <c r="U30" s="12">
        <v>0</v>
      </c>
      <c r="V30" s="12">
        <v>1863831.27</v>
      </c>
      <c r="W30" s="12">
        <v>0</v>
      </c>
      <c r="X30" s="12">
        <v>0</v>
      </c>
      <c r="Y30" s="12">
        <v>0</v>
      </c>
      <c r="Z30" s="12">
        <v>10458490.869999999</v>
      </c>
      <c r="AA30" s="12">
        <v>5211601.87</v>
      </c>
      <c r="AB30" s="12">
        <v>198150.71</v>
      </c>
      <c r="AC30" s="12">
        <v>0</v>
      </c>
      <c r="AD30" s="12">
        <v>0</v>
      </c>
      <c r="AE30" s="12">
        <v>0</v>
      </c>
      <c r="AF30" s="12">
        <v>0</v>
      </c>
      <c r="AG30" s="13">
        <v>1237166000</v>
      </c>
      <c r="AH30" s="13">
        <v>142918000</v>
      </c>
      <c r="AI30" s="13">
        <v>17804000</v>
      </c>
      <c r="AJ30" s="13">
        <v>18702000</v>
      </c>
      <c r="AK30" s="13">
        <v>120857000</v>
      </c>
      <c r="AL30" s="13">
        <v>0</v>
      </c>
      <c r="AM30" s="13">
        <v>0</v>
      </c>
      <c r="AN30" s="12">
        <v>0</v>
      </c>
      <c r="AO30" s="13">
        <v>0</v>
      </c>
      <c r="AP30" s="13">
        <v>71349000</v>
      </c>
      <c r="AQ30" s="13">
        <v>0</v>
      </c>
      <c r="AR30" s="13">
        <v>0</v>
      </c>
      <c r="AS30" s="12">
        <v>0</v>
      </c>
      <c r="AT30" s="13">
        <v>447597000</v>
      </c>
      <c r="AU30" s="13">
        <v>240256000</v>
      </c>
      <c r="AV30" s="13">
        <v>0</v>
      </c>
      <c r="AW30" s="13">
        <v>0</v>
      </c>
      <c r="AX30" s="13">
        <v>772982759</v>
      </c>
      <c r="AY30" s="14">
        <v>5.1200000000000002E-2</v>
      </c>
      <c r="AZ30" s="47">
        <v>2.215E-2</v>
      </c>
      <c r="BA30" s="15">
        <f t="shared" ref="BA30:BA32" si="39">ROUND(BB30/BC30,5)-AZ30</f>
        <v>2.6499999999999996E-3</v>
      </c>
      <c r="BB30" s="12">
        <f t="shared" si="32"/>
        <v>20567489.237100001</v>
      </c>
      <c r="BC30" s="45">
        <f t="shared" si="33"/>
        <v>829175296</v>
      </c>
      <c r="BF30" s="44">
        <f t="shared" si="34"/>
        <v>27485166.899999999</v>
      </c>
      <c r="BG30" s="44">
        <f t="shared" si="35"/>
        <v>3187944.65</v>
      </c>
      <c r="BH30" s="44">
        <f t="shared" si="18"/>
        <v>10508978.252899999</v>
      </c>
      <c r="BI30" s="49">
        <f t="shared" si="27"/>
        <v>-403355.93999999994</v>
      </c>
      <c r="BJ30" s="60">
        <v>403</v>
      </c>
      <c r="BK30" s="60">
        <v>0</v>
      </c>
      <c r="BM30" s="13">
        <f>78978+950432</f>
        <v>1029410</v>
      </c>
      <c r="BN30" s="13">
        <v>64764000</v>
      </c>
      <c r="BO30" s="13">
        <v>-27228000</v>
      </c>
      <c r="BP30" s="13">
        <v>-26000</v>
      </c>
      <c r="BQ30" s="13">
        <v>-57000</v>
      </c>
      <c r="BR30" s="81">
        <f>SUM(AG30,AK30,BO30,BP30)-SUM(AI30,AJ30,AT30,AX30,BM30,BN30,BQ30)</f>
        <v>7946831</v>
      </c>
      <c r="BS30" s="80">
        <f t="shared" si="36"/>
        <v>641752902</v>
      </c>
      <c r="BT30" s="81">
        <f t="shared" si="22"/>
        <v>846723000</v>
      </c>
      <c r="BU30" s="80">
        <f t="shared" si="37"/>
        <v>12522687906</v>
      </c>
      <c r="BV30" s="88">
        <f t="shared" si="38"/>
        <v>5.1247216797003836E-2</v>
      </c>
    </row>
    <row r="31" spans="1:79">
      <c r="A31" s="8">
        <v>40878</v>
      </c>
      <c r="B31" s="12">
        <v>32787449.57</v>
      </c>
      <c r="C31" s="12">
        <v>8597798.0800000001</v>
      </c>
      <c r="D31" s="12">
        <v>2336579.5</v>
      </c>
      <c r="E31" s="12">
        <v>0</v>
      </c>
      <c r="F31" s="12">
        <v>483492.78</v>
      </c>
      <c r="G31" s="12">
        <v>21.55</v>
      </c>
      <c r="H31" s="12">
        <v>0</v>
      </c>
      <c r="I31" s="12">
        <v>483471.23</v>
      </c>
      <c r="J31" s="12">
        <v>132132.12</v>
      </c>
      <c r="K31" s="12">
        <v>556544.14</v>
      </c>
      <c r="L31" s="12">
        <v>116774.76</v>
      </c>
      <c r="M31" s="12">
        <v>396135.81</v>
      </c>
      <c r="N31" s="12">
        <v>1431289</v>
      </c>
      <c r="O31" s="12">
        <v>1336548</v>
      </c>
      <c r="P31" s="12">
        <v>20</v>
      </c>
      <c r="Q31" s="12">
        <f t="shared" si="12"/>
        <v>0</v>
      </c>
      <c r="R31" s="12">
        <v>0</v>
      </c>
      <c r="S31" s="12">
        <v>4831730.34</v>
      </c>
      <c r="T31" s="12">
        <v>0</v>
      </c>
      <c r="U31" s="12">
        <v>0</v>
      </c>
      <c r="V31" s="12">
        <v>3179160.19</v>
      </c>
      <c r="W31" s="12">
        <v>0</v>
      </c>
      <c r="X31" s="12">
        <v>0</v>
      </c>
      <c r="Y31" s="12">
        <v>0</v>
      </c>
      <c r="Z31" s="12">
        <v>13599430.050000001</v>
      </c>
      <c r="AA31" s="12">
        <v>9222194.8699999992</v>
      </c>
      <c r="AB31" s="12">
        <v>323317.86</v>
      </c>
      <c r="AC31" s="12">
        <v>0</v>
      </c>
      <c r="AD31" s="12">
        <v>0</v>
      </c>
      <c r="AE31" s="12">
        <f>-AL31-AL1426</f>
        <v>0</v>
      </c>
      <c r="AF31" s="12">
        <v>0</v>
      </c>
      <c r="AG31" s="13">
        <v>1472562000</v>
      </c>
      <c r="AH31" s="13">
        <v>373873000</v>
      </c>
      <c r="AI31" s="13">
        <v>48477000</v>
      </c>
      <c r="AJ31" s="13">
        <v>52647000</v>
      </c>
      <c r="AK31" s="13">
        <v>179359000</v>
      </c>
      <c r="AL31" s="13">
        <v>0</v>
      </c>
      <c r="AM31" s="13">
        <v>0</v>
      </c>
      <c r="AN31" s="12">
        <v>0</v>
      </c>
      <c r="AO31" s="13">
        <v>0</v>
      </c>
      <c r="AP31" s="13">
        <v>120983000</v>
      </c>
      <c r="AQ31" s="13">
        <v>0</v>
      </c>
      <c r="AR31" s="13">
        <v>0</v>
      </c>
      <c r="AS31" s="12">
        <v>0</v>
      </c>
      <c r="AT31" s="13">
        <v>584257000</v>
      </c>
      <c r="AU31" s="13">
        <v>425541000</v>
      </c>
      <c r="AV31" s="13">
        <v>0</v>
      </c>
      <c r="AW31" s="13">
        <v>0</v>
      </c>
      <c r="AX31" s="13">
        <v>852508721</v>
      </c>
      <c r="AY31" s="14">
        <v>5.7299999999999997E-2</v>
      </c>
      <c r="AZ31" s="47">
        <v>2.215E-2</v>
      </c>
      <c r="BA31" s="15">
        <f t="shared" si="39"/>
        <v>3.1300000000000008E-3</v>
      </c>
      <c r="BB31" s="12">
        <f t="shared" si="32"/>
        <v>23032773.346800003</v>
      </c>
      <c r="BC31" s="45">
        <f t="shared" si="33"/>
        <v>911157258</v>
      </c>
      <c r="BF31" s="44">
        <f t="shared" si="34"/>
        <v>31859554.359999999</v>
      </c>
      <c r="BG31" s="44">
        <f t="shared" si="35"/>
        <v>4831730.34</v>
      </c>
      <c r="BH31" s="44">
        <f t="shared" si="18"/>
        <v>13639969.223200001</v>
      </c>
      <c r="BI31" s="49">
        <f t="shared" si="27"/>
        <v>18542.130000000121</v>
      </c>
      <c r="BJ31" s="60">
        <v>685</v>
      </c>
      <c r="BK31" s="60">
        <v>0</v>
      </c>
      <c r="BM31" s="13">
        <f>296146+1122135+418437</f>
        <v>1836718</v>
      </c>
      <c r="BN31" s="62">
        <v>11023000</v>
      </c>
      <c r="BO31" s="62">
        <v>-23789000</v>
      </c>
      <c r="BP31" s="13">
        <v>68000</v>
      </c>
      <c r="BQ31" s="62">
        <v>3000</v>
      </c>
      <c r="BR31" s="81">
        <f>SUM(AG31,AK31,BO31,BP31)-SUM(AI31,AJ31,AT31,AX31,BM31,BN31,BQ31)</f>
        <v>77447561</v>
      </c>
      <c r="BS31" s="80">
        <f>SUM(BR20:BR31)</f>
        <v>708274049</v>
      </c>
      <c r="BT31" s="81">
        <f t="shared" si="22"/>
        <v>942816000</v>
      </c>
      <c r="BU31" s="80">
        <f t="shared" si="37"/>
        <v>12366104156</v>
      </c>
      <c r="BV31" s="88">
        <f t="shared" si="38"/>
        <v>5.7275439383740544E-2</v>
      </c>
    </row>
    <row r="32" spans="1:79">
      <c r="A32" s="8">
        <v>40909</v>
      </c>
      <c r="B32" s="12">
        <v>34563984.479999997</v>
      </c>
      <c r="C32" s="12">
        <v>10173585.16</v>
      </c>
      <c r="D32" s="12">
        <v>2692750.89</v>
      </c>
      <c r="E32" s="12">
        <v>0</v>
      </c>
      <c r="F32" s="12">
        <v>78875.69</v>
      </c>
      <c r="G32" s="12">
        <v>75.16</v>
      </c>
      <c r="H32" s="12">
        <v>0</v>
      </c>
      <c r="I32" s="12">
        <v>78800.53</v>
      </c>
      <c r="J32" s="12">
        <v>20040.55</v>
      </c>
      <c r="K32" s="12">
        <v>499807.61</v>
      </c>
      <c r="L32" s="12">
        <v>104699.16</v>
      </c>
      <c r="M32" s="12">
        <v>758744.54</v>
      </c>
      <c r="N32" s="12">
        <v>854177</v>
      </c>
      <c r="O32" s="12">
        <v>872993</v>
      </c>
      <c r="P32" s="12">
        <v>0</v>
      </c>
      <c r="Q32" s="12">
        <f t="shared" si="12"/>
        <v>-18816</v>
      </c>
      <c r="R32" s="12">
        <v>0</v>
      </c>
      <c r="S32" s="12">
        <v>3868886.49</v>
      </c>
      <c r="T32" s="12">
        <v>1278.1300000000001</v>
      </c>
      <c r="U32" s="12">
        <v>0</v>
      </c>
      <c r="V32" s="12">
        <v>2491593.56</v>
      </c>
      <c r="W32" s="12">
        <v>0</v>
      </c>
      <c r="X32" s="12">
        <v>0</v>
      </c>
      <c r="Y32" s="12">
        <v>0</v>
      </c>
      <c r="Z32" s="12">
        <v>12208983.689999999</v>
      </c>
      <c r="AA32" s="12">
        <v>9405230.5199999996</v>
      </c>
      <c r="AB32" s="12">
        <v>265583.90999999997</v>
      </c>
      <c r="AC32" s="12">
        <v>0</v>
      </c>
      <c r="AD32" s="12">
        <v>0</v>
      </c>
      <c r="AE32" s="12">
        <v>0</v>
      </c>
      <c r="AF32" s="12">
        <v>0</v>
      </c>
      <c r="AG32" s="13">
        <v>1501685000</v>
      </c>
      <c r="AH32" s="13">
        <v>439197000</v>
      </c>
      <c r="AI32" s="13">
        <v>56213000</v>
      </c>
      <c r="AJ32" s="13">
        <v>59560000</v>
      </c>
      <c r="AK32" s="13">
        <v>141466000</v>
      </c>
      <c r="AL32" s="13">
        <v>0</v>
      </c>
      <c r="AM32" s="13">
        <v>0</v>
      </c>
      <c r="AN32" s="12">
        <v>0</v>
      </c>
      <c r="AO32" s="13">
        <v>44000</v>
      </c>
      <c r="AP32" s="13">
        <v>93872000</v>
      </c>
      <c r="AQ32" s="13">
        <v>0</v>
      </c>
      <c r="AR32" s="13">
        <v>0</v>
      </c>
      <c r="AS32" s="12">
        <v>0</v>
      </c>
      <c r="AT32" s="13">
        <v>532136000</v>
      </c>
      <c r="AU32" s="13">
        <v>436448000</v>
      </c>
      <c r="AV32" s="13">
        <v>0</v>
      </c>
      <c r="AW32" s="13">
        <v>0</v>
      </c>
      <c r="AX32" s="13">
        <v>975042588</v>
      </c>
      <c r="AY32" s="14">
        <v>5.6599999999999998E-2</v>
      </c>
      <c r="AZ32" s="47">
        <v>2.215E-2</v>
      </c>
      <c r="BA32" s="15">
        <f t="shared" si="39"/>
        <v>3.9500000000000021E-3</v>
      </c>
      <c r="BB32" s="12">
        <f t="shared" si="32"/>
        <v>24505597.937399998</v>
      </c>
      <c r="BC32" s="45">
        <f t="shared" si="33"/>
        <v>938911303</v>
      </c>
      <c r="BF32" s="44">
        <f t="shared" si="34"/>
        <v>33257625.16</v>
      </c>
      <c r="BG32" s="44">
        <f t="shared" si="35"/>
        <v>3868886.49</v>
      </c>
      <c r="BH32" s="44">
        <f t="shared" si="18"/>
        <v>12234365.3826</v>
      </c>
      <c r="BI32" s="49">
        <f t="shared" si="27"/>
        <v>386548.33000000007</v>
      </c>
      <c r="BJ32" s="60">
        <v>775</v>
      </c>
      <c r="BK32" s="60">
        <v>0</v>
      </c>
      <c r="BM32" s="13">
        <f>126932+1305475</f>
        <v>1432407</v>
      </c>
      <c r="BN32" s="62">
        <v>-40594000</v>
      </c>
      <c r="BO32" s="62">
        <v>-24136000</v>
      </c>
      <c r="BP32" s="80">
        <v>-40000</v>
      </c>
      <c r="BQ32" s="81">
        <v>93000</v>
      </c>
      <c r="BR32" s="81">
        <f>SUM(AG32,AK32,BO32,BP32)-SUM(AI32,AJ32,AT32,AX32,BM32,BN32,BQ32)</f>
        <v>35092005</v>
      </c>
      <c r="BS32" s="80">
        <f t="shared" si="36"/>
        <v>693737498</v>
      </c>
      <c r="BT32" s="81">
        <f t="shared" si="22"/>
        <v>970973000</v>
      </c>
      <c r="BU32" s="80">
        <f t="shared" si="37"/>
        <v>12265421221</v>
      </c>
      <c r="BV32" s="88">
        <f t="shared" si="38"/>
        <v>5.656042996813114E-2</v>
      </c>
    </row>
    <row r="33" spans="1:77">
      <c r="A33" s="8">
        <v>40940</v>
      </c>
      <c r="B33" s="12">
        <v>28312891.23</v>
      </c>
      <c r="C33" s="12">
        <v>8838384.7799999993</v>
      </c>
      <c r="D33" s="12">
        <v>2274816.4700000002</v>
      </c>
      <c r="E33" s="12">
        <v>0</v>
      </c>
      <c r="F33" s="12">
        <v>248624.41</v>
      </c>
      <c r="G33" s="12">
        <v>199.45</v>
      </c>
      <c r="H33" s="12">
        <v>0</v>
      </c>
      <c r="I33" s="12">
        <v>248421.96</v>
      </c>
      <c r="J33" s="12">
        <v>64070.51</v>
      </c>
      <c r="K33" s="12">
        <v>437402.57</v>
      </c>
      <c r="L33" s="12">
        <v>63307.23</v>
      </c>
      <c r="M33" s="12">
        <v>678771.38</v>
      </c>
      <c r="N33" s="12">
        <v>534390</v>
      </c>
      <c r="O33" s="12">
        <v>518755</v>
      </c>
      <c r="P33" s="12">
        <v>1000</v>
      </c>
      <c r="Q33" s="12">
        <f t="shared" si="12"/>
        <v>0</v>
      </c>
      <c r="R33" s="12">
        <v>0</v>
      </c>
      <c r="S33" s="12">
        <v>2063881.16</v>
      </c>
      <c r="T33" s="12">
        <v>1559.41</v>
      </c>
      <c r="U33" s="12">
        <v>0</v>
      </c>
      <c r="V33" s="12">
        <v>386945.35</v>
      </c>
      <c r="W33" s="12">
        <v>0</v>
      </c>
      <c r="X33" s="12">
        <v>0</v>
      </c>
      <c r="Y33" s="12">
        <v>0</v>
      </c>
      <c r="Z33" s="12">
        <v>6848453.0700000003</v>
      </c>
      <c r="AA33" s="12">
        <v>6394049.9800000004</v>
      </c>
      <c r="AB33" s="12">
        <v>50906.81</v>
      </c>
      <c r="AC33" s="12">
        <v>0</v>
      </c>
      <c r="AD33" s="12">
        <v>0</v>
      </c>
      <c r="AE33" s="12">
        <v>0</v>
      </c>
      <c r="AF33" s="12">
        <v>0</v>
      </c>
      <c r="AG33" s="80">
        <v>1230746000</v>
      </c>
      <c r="AH33" s="13">
        <v>387651000</v>
      </c>
      <c r="AI33" s="80">
        <v>48347000</v>
      </c>
      <c r="AJ33" s="80">
        <v>51060000</v>
      </c>
      <c r="AK33" s="80">
        <v>71772000</v>
      </c>
      <c r="AL33" s="13">
        <v>0</v>
      </c>
      <c r="AM33" s="13">
        <v>0</v>
      </c>
      <c r="AN33" s="12">
        <v>0</v>
      </c>
      <c r="AO33" s="13">
        <v>56000</v>
      </c>
      <c r="AP33" s="13">
        <v>13054000</v>
      </c>
      <c r="AQ33" s="13">
        <v>0</v>
      </c>
      <c r="AR33" s="13">
        <v>0</v>
      </c>
      <c r="AS33" s="12">
        <v>0</v>
      </c>
      <c r="AT33" s="80">
        <v>303887000</v>
      </c>
      <c r="AU33" s="13">
        <v>290185000</v>
      </c>
      <c r="AV33" s="13">
        <v>0</v>
      </c>
      <c r="AW33" s="13">
        <v>0</v>
      </c>
      <c r="AX33" s="80">
        <v>837554049</v>
      </c>
      <c r="AY33" s="14">
        <v>5.5100000000000003E-2</v>
      </c>
      <c r="AZ33" s="47">
        <v>2.215E-2</v>
      </c>
      <c r="BA33" s="15">
        <f t="shared" ref="BA33" si="40">ROUND(BB33/BC33,5)-AZ33</f>
        <v>4.720000000000002E-3</v>
      </c>
      <c r="BB33" s="12">
        <f t="shared" ref="BB33" si="41">BF33+BG33-BH33-BI33+AF33</f>
        <v>22829085.597200003</v>
      </c>
      <c r="BC33" s="45">
        <f t="shared" si="33"/>
        <v>849676758</v>
      </c>
      <c r="BF33" s="44">
        <f t="shared" si="34"/>
        <v>27387314.420000002</v>
      </c>
      <c r="BG33" s="44">
        <f t="shared" si="35"/>
        <v>2063881.16</v>
      </c>
      <c r="BH33" s="44">
        <f t="shared" si="18"/>
        <v>6852488.0328000002</v>
      </c>
      <c r="BI33" s="49">
        <f t="shared" si="27"/>
        <v>-230378.05000000028</v>
      </c>
      <c r="BJ33" s="60">
        <v>630</v>
      </c>
      <c r="BK33" s="60">
        <v>0</v>
      </c>
      <c r="BM33" s="80">
        <v>1734969</v>
      </c>
      <c r="BN33" s="80">
        <v>-8783000</v>
      </c>
      <c r="BO33" s="80">
        <v>-26969000</v>
      </c>
      <c r="BP33" s="80">
        <v>-13000</v>
      </c>
      <c r="BQ33" s="80">
        <v>21000</v>
      </c>
      <c r="BR33" s="80">
        <f>SUM(AG33,AK33,BO33,BP33)-SUM(AI33,AJ33,AT33,AX33,BM33,BN33,BQ33)</f>
        <v>41714982</v>
      </c>
      <c r="BS33" s="80">
        <f>SUM(BR22:BR33)</f>
        <v>674311369</v>
      </c>
      <c r="BT33" s="80">
        <f t="shared" si="22"/>
        <v>872221000</v>
      </c>
      <c r="BU33" s="80">
        <f t="shared" ref="BU33" si="42">SUM(BT22:BT33)</f>
        <v>12229417202</v>
      </c>
      <c r="BV33" s="88">
        <f t="shared" ref="BV33" si="43">BS33/BU33</f>
        <v>5.5138471266621199E-2</v>
      </c>
      <c r="BY33" s="154"/>
    </row>
    <row r="34" spans="1:77">
      <c r="A34" s="8">
        <v>40969</v>
      </c>
      <c r="B34" s="12">
        <v>29824822.170000002</v>
      </c>
      <c r="C34" s="12">
        <v>9671126.8900000006</v>
      </c>
      <c r="D34" s="12">
        <v>2466098.4300000002</v>
      </c>
      <c r="E34" s="12">
        <v>0</v>
      </c>
      <c r="F34" s="12">
        <v>269640.61</v>
      </c>
      <c r="G34" s="12">
        <v>0</v>
      </c>
      <c r="H34" s="12">
        <v>0</v>
      </c>
      <c r="I34" s="12">
        <v>269640.61</v>
      </c>
      <c r="J34" s="12">
        <v>68773.73</v>
      </c>
      <c r="K34" s="12">
        <v>575336.42000000004</v>
      </c>
      <c r="L34" s="12">
        <v>55984.82</v>
      </c>
      <c r="M34" s="12">
        <v>973169.51</v>
      </c>
      <c r="N34" s="12">
        <v>1841036</v>
      </c>
      <c r="O34" s="12">
        <v>1780023</v>
      </c>
      <c r="P34" s="12">
        <v>21960</v>
      </c>
      <c r="Q34" s="12">
        <f t="shared" si="12"/>
        <v>0</v>
      </c>
      <c r="R34" s="12">
        <v>0</v>
      </c>
      <c r="S34" s="12">
        <v>2467720.02</v>
      </c>
      <c r="T34" s="12">
        <v>9084.39</v>
      </c>
      <c r="U34" s="12">
        <v>0</v>
      </c>
      <c r="V34" s="12">
        <v>521486.23</v>
      </c>
      <c r="W34" s="12">
        <v>0</v>
      </c>
      <c r="X34" s="12">
        <v>0</v>
      </c>
      <c r="Y34" s="12">
        <v>0</v>
      </c>
      <c r="Z34" s="12">
        <v>7970018.7599999998</v>
      </c>
      <c r="AA34" s="12">
        <v>7341090.2300000004</v>
      </c>
      <c r="AB34" s="12">
        <v>63959.92</v>
      </c>
      <c r="AC34" s="12">
        <v>0</v>
      </c>
      <c r="AD34" s="12">
        <v>0</v>
      </c>
      <c r="AE34" s="12">
        <v>0</v>
      </c>
      <c r="AF34" s="12">
        <v>0</v>
      </c>
      <c r="AG34" s="13">
        <v>1272274000</v>
      </c>
      <c r="AH34" s="13">
        <v>410481000</v>
      </c>
      <c r="AI34" s="13">
        <v>51179000</v>
      </c>
      <c r="AJ34" s="13">
        <v>53143000</v>
      </c>
      <c r="AK34" s="13">
        <v>89705000</v>
      </c>
      <c r="AL34" s="13">
        <v>0</v>
      </c>
      <c r="AM34" s="13">
        <v>0</v>
      </c>
      <c r="AN34" s="12">
        <v>0</v>
      </c>
      <c r="AO34" s="13">
        <v>267000</v>
      </c>
      <c r="AP34" s="13">
        <v>17109000</v>
      </c>
      <c r="AQ34" s="13">
        <v>0</v>
      </c>
      <c r="AR34" s="13">
        <v>0</v>
      </c>
      <c r="AS34" s="12">
        <v>0</v>
      </c>
      <c r="AT34" s="13">
        <v>336244000</v>
      </c>
      <c r="AU34" s="13">
        <v>317379000</v>
      </c>
      <c r="AV34" s="13">
        <v>0</v>
      </c>
      <c r="AW34" s="13">
        <v>0</v>
      </c>
      <c r="AX34" s="13">
        <v>851953567</v>
      </c>
      <c r="AY34" s="14">
        <v>5.3699999999999998E-2</v>
      </c>
      <c r="AZ34" s="47">
        <v>2.215E-2</v>
      </c>
      <c r="BA34" s="15">
        <f t="shared" ref="BA34" si="44">ROUND(BB34/BC34,5)-AZ34</f>
        <v>5.3600000000000002E-3</v>
      </c>
      <c r="BB34" s="12">
        <f t="shared" ref="BB34" si="45">BF34+BG34-BH34-BI34+AF34</f>
        <v>23982792.553899996</v>
      </c>
      <c r="BC34" s="45">
        <f t="shared" si="33"/>
        <v>871933122</v>
      </c>
      <c r="BF34" s="44">
        <f t="shared" si="34"/>
        <v>29147257.919999998</v>
      </c>
      <c r="BG34" s="44">
        <f t="shared" si="35"/>
        <v>2467720.02</v>
      </c>
      <c r="BH34" s="44">
        <f t="shared" si="18"/>
        <v>7975668.4460999994</v>
      </c>
      <c r="BI34" s="49">
        <f t="shared" si="27"/>
        <v>-343483.06000000006</v>
      </c>
      <c r="BJ34" s="60">
        <v>211</v>
      </c>
      <c r="BK34" s="60">
        <v>70</v>
      </c>
      <c r="BM34" s="13">
        <f>162271+869910</f>
        <v>1032181</v>
      </c>
      <c r="BN34" s="81">
        <v>16175000</v>
      </c>
      <c r="BO34" s="81">
        <v>-21175000</v>
      </c>
      <c r="BP34" s="80">
        <v>9000</v>
      </c>
      <c r="BQ34" s="80">
        <v>-38000</v>
      </c>
      <c r="BR34" s="80">
        <f>SUM(AG34,AK34,BO34,BP34)-SUM(AI34,AJ34,AT34,AX34,BM34,BN34,BQ34)</f>
        <v>31124252</v>
      </c>
      <c r="BS34" s="80">
        <f t="shared" si="36"/>
        <v>655109154</v>
      </c>
      <c r="BT34" s="80">
        <f t="shared" si="22"/>
        <v>900285000</v>
      </c>
      <c r="BU34" s="80">
        <f t="shared" ref="BU34" si="46">SUM(BT23:BT34)</f>
        <v>12188602488</v>
      </c>
      <c r="BV34" s="88">
        <f t="shared" ref="BV34" si="47">BS34/BU34</f>
        <v>5.3747683923975061E-2</v>
      </c>
      <c r="BY34" s="154"/>
    </row>
    <row r="35" spans="1:77">
      <c r="A35" s="8">
        <v>41000</v>
      </c>
      <c r="AE35" s="12">
        <v>0</v>
      </c>
      <c r="AL35" s="13">
        <v>0</v>
      </c>
      <c r="AX35" s="13">
        <v>863164574</v>
      </c>
      <c r="BR35" s="80"/>
      <c r="BS35" s="80"/>
    </row>
    <row r="36" spans="1:77">
      <c r="BR36" s="80"/>
      <c r="BS36" s="80"/>
      <c r="BT36" s="80"/>
      <c r="BU36" s="80"/>
    </row>
    <row r="37" spans="1:77">
      <c r="BR37" s="80"/>
      <c r="BS37" s="80"/>
      <c r="BT37" s="80"/>
    </row>
    <row r="38" spans="1:77">
      <c r="BR38" s="80"/>
      <c r="BS38" s="80"/>
    </row>
    <row r="39" spans="1:77">
      <c r="BR39" s="80"/>
      <c r="BS39" s="80"/>
    </row>
    <row r="40" spans="1:77">
      <c r="BR40" s="80"/>
      <c r="BS40" s="80"/>
    </row>
    <row r="41" spans="1:77">
      <c r="BR41" s="80"/>
      <c r="BS41" s="80"/>
    </row>
    <row r="42" spans="1:77">
      <c r="BR42" s="80"/>
      <c r="BS42" s="80"/>
    </row>
    <row r="43" spans="1:77">
      <c r="BR43" s="80"/>
      <c r="BS43" s="80"/>
    </row>
    <row r="44" spans="1:77">
      <c r="BR44" s="80"/>
      <c r="BS44" s="80"/>
    </row>
    <row r="45" spans="1:77">
      <c r="BR45" s="80"/>
      <c r="BS45" s="80"/>
    </row>
    <row r="47" spans="1:77">
      <c r="BR47" s="80"/>
      <c r="BS47" s="80"/>
    </row>
  </sheetData>
  <customSheetViews>
    <customSheetView guid="{8C084662-0E28-4177-A4EB-39B775DF23C3}">
      <pane xSplit="1" ySplit="7" topLeftCell="AP127" activePane="bottomRight" state="frozen"/>
      <selection pane="bottomRight" activeCell="AX155" sqref="AX155"/>
      <colBreaks count="4" manualBreakCount="4">
        <brk id="13" min="90" max="102" man="1"/>
        <brk id="18" min="90" max="102" man="1"/>
        <brk id="30" min="90" max="102" man="1"/>
        <brk id="55" min="90" max="102" man="1"/>
      </colBreaks>
      <pageMargins left="0.75" right="0.75" top="1" bottom="1" header="0.5" footer="0.5"/>
      <pageSetup scale="60" orientation="landscape" r:id="rId1"/>
      <headerFooter alignWithMargins="0">
        <oddHeader>&amp;A</oddHeader>
        <oddFooter>Page &amp;P</oddFooter>
      </headerFooter>
    </customSheetView>
  </customSheetViews>
  <phoneticPr fontId="6" type="noConversion"/>
  <pageMargins left="0.75" right="0.75" top="1" bottom="1" header="0.5" footer="0.5"/>
  <pageSetup scale="60" orientation="landscape" r:id="rId2"/>
  <headerFooter alignWithMargins="0">
    <oddHeader>&amp;A</oddHeader>
    <oddFooter>Page &amp;P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workbookViewId="0">
      <pane xSplit="2" ySplit="2" topLeftCell="C42" activePane="bottomRight" state="frozen"/>
      <selection pane="topRight" activeCell="C1" sqref="C1"/>
      <selection pane="bottomLeft" activeCell="A3" sqref="A3"/>
      <selection pane="bottomRight" activeCell="F47" sqref="F47"/>
    </sheetView>
  </sheetViews>
  <sheetFormatPr defaultRowHeight="12.75"/>
  <cols>
    <col min="1" max="1" width="9.140625" style="126"/>
    <col min="2" max="14" width="18.7109375" style="126" customWidth="1"/>
    <col min="15" max="16384" width="9.140625" style="126"/>
  </cols>
  <sheetData>
    <row r="1" spans="1:14">
      <c r="C1" s="127">
        <v>40634</v>
      </c>
      <c r="D1" s="127">
        <f>EOMONTH(C1,0)+1</f>
        <v>40664</v>
      </c>
      <c r="E1" s="127">
        <f t="shared" ref="E1:N1" si="0">EOMONTH(D1,0)+1</f>
        <v>40695</v>
      </c>
      <c r="F1" s="127">
        <f t="shared" si="0"/>
        <v>40725</v>
      </c>
      <c r="G1" s="127">
        <f t="shared" si="0"/>
        <v>40756</v>
      </c>
      <c r="H1" s="127">
        <f t="shared" si="0"/>
        <v>40787</v>
      </c>
      <c r="I1" s="127">
        <f t="shared" si="0"/>
        <v>40817</v>
      </c>
      <c r="J1" s="127">
        <f t="shared" si="0"/>
        <v>40848</v>
      </c>
      <c r="K1" s="127">
        <f t="shared" si="0"/>
        <v>40878</v>
      </c>
      <c r="L1" s="127">
        <f t="shared" si="0"/>
        <v>40909</v>
      </c>
      <c r="M1" s="127">
        <f t="shared" si="0"/>
        <v>40940</v>
      </c>
      <c r="N1" s="127">
        <f t="shared" si="0"/>
        <v>40969</v>
      </c>
    </row>
    <row r="3" spans="1:14">
      <c r="A3" s="128" t="s">
        <v>95</v>
      </c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</row>
    <row r="4" spans="1:14">
      <c r="A4" s="131" t="s">
        <v>60</v>
      </c>
      <c r="B4" s="132" t="s">
        <v>96</v>
      </c>
      <c r="C4" s="133">
        <f t="shared" ref="C4:N4" si="1">C$37</f>
        <v>19706363.919999994</v>
      </c>
      <c r="D4" s="133">
        <f t="shared" si="1"/>
        <v>23725652.039999999</v>
      </c>
      <c r="E4" s="133">
        <f t="shared" si="1"/>
        <v>27104279.640000001</v>
      </c>
      <c r="F4" s="133">
        <f t="shared" si="1"/>
        <v>33135401.579999998</v>
      </c>
      <c r="G4" s="133">
        <f t="shared" si="1"/>
        <v>29971204.129999995</v>
      </c>
      <c r="H4" s="133">
        <f t="shared" si="1"/>
        <v>22804632.759999998</v>
      </c>
      <c r="I4" s="133">
        <f t="shared" si="1"/>
        <v>20588866.949999999</v>
      </c>
      <c r="J4" s="133">
        <f t="shared" si="1"/>
        <v>20567489.369999997</v>
      </c>
      <c r="K4" s="133">
        <f t="shared" si="1"/>
        <v>23032772.999999996</v>
      </c>
      <c r="L4" s="133">
        <f t="shared" si="1"/>
        <v>24505598.110000007</v>
      </c>
      <c r="M4" s="133">
        <f t="shared" si="1"/>
        <v>22829086.27</v>
      </c>
      <c r="N4" s="133">
        <f t="shared" si="1"/>
        <v>23982793.009999998</v>
      </c>
    </row>
    <row r="5" spans="1:14">
      <c r="A5" s="131" t="s">
        <v>97</v>
      </c>
      <c r="B5" s="132" t="s">
        <v>98</v>
      </c>
      <c r="C5" s="134">
        <f t="shared" ref="C5:N5" si="2">C$53</f>
        <v>795901339.9512912</v>
      </c>
      <c r="D5" s="134">
        <f t="shared" si="2"/>
        <v>958807303.94644022</v>
      </c>
      <c r="E5" s="134">
        <f t="shared" si="2"/>
        <v>1133304953.9423838</v>
      </c>
      <c r="F5" s="134">
        <f t="shared" si="2"/>
        <v>1353151753.937129</v>
      </c>
      <c r="G5" s="134">
        <f t="shared" si="2"/>
        <v>1230596111.9322977</v>
      </c>
      <c r="H5" s="134">
        <f t="shared" si="2"/>
        <v>904369058.93716693</v>
      </c>
      <c r="I5" s="134">
        <f t="shared" si="2"/>
        <v>844230987.94379747</v>
      </c>
      <c r="J5" s="134">
        <f t="shared" si="2"/>
        <v>829175295.94875276</v>
      </c>
      <c r="K5" s="134">
        <f t="shared" si="2"/>
        <v>911157257.94272459</v>
      </c>
      <c r="L5" s="134">
        <f t="shared" si="2"/>
        <v>938911302.94343948</v>
      </c>
      <c r="M5" s="134">
        <f t="shared" si="2"/>
        <v>849676757.94486153</v>
      </c>
      <c r="N5" s="134">
        <f t="shared" si="2"/>
        <v>871933121.94625235</v>
      </c>
    </row>
    <row r="6" spans="1:14">
      <c r="A6" s="131"/>
      <c r="B6" s="132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</row>
    <row r="7" spans="1:14">
      <c r="A7" s="131"/>
      <c r="B7" s="132"/>
      <c r="C7" s="136">
        <f t="shared" ref="C7:N7" si="3">IF(C5=0,0,ROUND(C4/C5,5))</f>
        <v>2.4760000000000001E-2</v>
      </c>
      <c r="D7" s="136">
        <f t="shared" si="3"/>
        <v>2.4740000000000002E-2</v>
      </c>
      <c r="E7" s="136">
        <f t="shared" si="3"/>
        <v>2.392E-2</v>
      </c>
      <c r="F7" s="136">
        <f t="shared" si="3"/>
        <v>2.4490000000000001E-2</v>
      </c>
      <c r="G7" s="136">
        <f t="shared" si="3"/>
        <v>2.436E-2</v>
      </c>
      <c r="H7" s="136">
        <f t="shared" si="3"/>
        <v>2.5219999999999999E-2</v>
      </c>
      <c r="I7" s="136">
        <f t="shared" si="3"/>
        <v>2.4389999999999998E-2</v>
      </c>
      <c r="J7" s="136">
        <f t="shared" si="3"/>
        <v>2.4799999999999999E-2</v>
      </c>
      <c r="K7" s="136">
        <f t="shared" si="3"/>
        <v>2.528E-2</v>
      </c>
      <c r="L7" s="136">
        <f t="shared" si="3"/>
        <v>2.6100000000000002E-2</v>
      </c>
      <c r="M7" s="136">
        <f t="shared" si="3"/>
        <v>2.6870000000000002E-2</v>
      </c>
      <c r="N7" s="136">
        <f t="shared" si="3"/>
        <v>2.751E-2</v>
      </c>
    </row>
    <row r="8" spans="1:14">
      <c r="A8" s="131" t="s">
        <v>99</v>
      </c>
      <c r="B8" s="132"/>
      <c r="C8" s="136">
        <v>2.0580000000000001E-2</v>
      </c>
      <c r="D8" s="136">
        <v>2.0580000000000001E-2</v>
      </c>
      <c r="E8" s="136">
        <v>2.0580000000000001E-2</v>
      </c>
      <c r="F8" s="136">
        <v>2.215E-2</v>
      </c>
      <c r="G8" s="136">
        <v>2.215E-2</v>
      </c>
      <c r="H8" s="136">
        <v>2.215E-2</v>
      </c>
      <c r="I8" s="136">
        <v>2.215E-2</v>
      </c>
      <c r="J8" s="136">
        <v>2.215E-2</v>
      </c>
      <c r="K8" s="136">
        <v>2.215E-2</v>
      </c>
      <c r="L8" s="136">
        <v>2.215E-2</v>
      </c>
      <c r="M8" s="136">
        <v>2.215E-2</v>
      </c>
      <c r="N8" s="136">
        <v>2.215E-2</v>
      </c>
    </row>
    <row r="9" spans="1:14">
      <c r="A9" s="131" t="s">
        <v>100</v>
      </c>
      <c r="B9" s="132"/>
      <c r="C9" s="137">
        <f t="shared" ref="C9:N9" si="4">C7-C8</f>
        <v>4.1799999999999997E-3</v>
      </c>
      <c r="D9" s="137">
        <f t="shared" si="4"/>
        <v>4.1600000000000005E-3</v>
      </c>
      <c r="E9" s="137">
        <f t="shared" si="4"/>
        <v>3.3399999999999992E-3</v>
      </c>
      <c r="F9" s="137">
        <f t="shared" si="4"/>
        <v>2.3400000000000018E-3</v>
      </c>
      <c r="G9" s="137">
        <f t="shared" si="4"/>
        <v>2.2100000000000002E-3</v>
      </c>
      <c r="H9" s="137">
        <f t="shared" si="4"/>
        <v>3.0699999999999998E-3</v>
      </c>
      <c r="I9" s="137">
        <f t="shared" si="4"/>
        <v>2.2399999999999989E-3</v>
      </c>
      <c r="J9" s="137">
        <f t="shared" si="4"/>
        <v>2.6499999999999996E-3</v>
      </c>
      <c r="K9" s="137">
        <f t="shared" si="4"/>
        <v>3.1300000000000008E-3</v>
      </c>
      <c r="L9" s="137">
        <f t="shared" si="4"/>
        <v>3.9500000000000021E-3</v>
      </c>
      <c r="M9" s="137">
        <f t="shared" si="4"/>
        <v>4.720000000000002E-3</v>
      </c>
      <c r="N9" s="137">
        <f t="shared" si="4"/>
        <v>5.3600000000000002E-3</v>
      </c>
    </row>
    <row r="10" spans="1:14">
      <c r="A10" s="138"/>
      <c r="B10" s="139"/>
      <c r="C10" s="140"/>
      <c r="D10" s="140"/>
      <c r="E10" s="140"/>
      <c r="F10" s="140"/>
      <c r="G10" s="140"/>
      <c r="H10" s="140"/>
      <c r="I10" s="141"/>
      <c r="J10" s="141"/>
      <c r="K10" s="141"/>
      <c r="L10" s="141"/>
      <c r="M10" s="141"/>
      <c r="N10" s="141"/>
    </row>
    <row r="11" spans="1:14">
      <c r="A11" s="128" t="s">
        <v>101</v>
      </c>
      <c r="B11" s="129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</row>
    <row r="12" spans="1:14">
      <c r="A12" s="131" t="s">
        <v>58</v>
      </c>
      <c r="B12" s="132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</row>
    <row r="13" spans="1:14">
      <c r="A13" s="131"/>
      <c r="B13" s="132" t="s">
        <v>102</v>
      </c>
      <c r="C13" s="134">
        <v>23534122</v>
      </c>
      <c r="D13" s="134">
        <v>24806903</v>
      </c>
      <c r="E13" s="134">
        <v>26041006</v>
      </c>
      <c r="F13" s="134">
        <v>31787411</v>
      </c>
      <c r="G13" s="134">
        <v>30584942</v>
      </c>
      <c r="H13" s="134">
        <v>27614430</v>
      </c>
      <c r="I13" s="134">
        <v>24900487</v>
      </c>
      <c r="J13" s="134">
        <v>25792832</v>
      </c>
      <c r="K13" s="134">
        <v>30438703</v>
      </c>
      <c r="L13" s="134">
        <v>31855369</v>
      </c>
      <c r="M13" s="134">
        <v>26023750</v>
      </c>
      <c r="N13" s="134">
        <v>27342341</v>
      </c>
    </row>
    <row r="14" spans="1:14">
      <c r="A14" s="131"/>
      <c r="B14" s="132" t="s">
        <v>103</v>
      </c>
      <c r="C14" s="134">
        <v>18575</v>
      </c>
      <c r="D14" s="134">
        <v>245530</v>
      </c>
      <c r="E14" s="134">
        <v>85139</v>
      </c>
      <c r="F14" s="134">
        <v>180498</v>
      </c>
      <c r="G14" s="134">
        <v>217483</v>
      </c>
      <c r="H14" s="134">
        <v>110865</v>
      </c>
      <c r="I14" s="134">
        <v>36456</v>
      </c>
      <c r="J14" s="134">
        <v>385422</v>
      </c>
      <c r="K14" s="134">
        <v>351397</v>
      </c>
      <c r="L14" s="134">
        <v>57821</v>
      </c>
      <c r="M14" s="134">
        <v>184084</v>
      </c>
      <c r="N14" s="134">
        <v>200427</v>
      </c>
    </row>
    <row r="15" spans="1:14">
      <c r="A15" s="131"/>
      <c r="B15" s="132" t="s">
        <v>104</v>
      </c>
      <c r="C15" s="134">
        <f>VLOOKUP(C$1,'As Filed'!$A$8:$BV$35,'As Filed'!$K$7,FALSE)+VLOOKUP(C$1,'As Filed'!$A$8:$BV$35,'As Filed'!$L$7,FALSE)+VLOOKUP(C$1,'As Filed'!$A$8:$BV$35,'As Filed'!$M$7,FALSE)</f>
        <v>2454899.33</v>
      </c>
      <c r="D15" s="134">
        <f>VLOOKUP(D$1,'As Filed'!$A$8:$BV$35,'As Filed'!$K$7,FALSE)+VLOOKUP(D$1,'As Filed'!$A$8:$BV$35,'As Filed'!$L$7,FALSE)+VLOOKUP(D$1,'As Filed'!$A$8:$BV$35,'As Filed'!$M$7,FALSE)</f>
        <v>2258171.27</v>
      </c>
      <c r="E15" s="134">
        <f>VLOOKUP(E$1,'As Filed'!$A$8:$BV$35,'As Filed'!$K$7,FALSE)+VLOOKUP(E$1,'As Filed'!$A$8:$BV$35,'As Filed'!$L$7,FALSE)+VLOOKUP(E$1,'As Filed'!$A$8:$BV$35,'As Filed'!$M$7,FALSE)</f>
        <v>2904914.29</v>
      </c>
      <c r="F15" s="134">
        <f>VLOOKUP(F$1,'As Filed'!$A$8:$BV$35,'As Filed'!$K$7,FALSE)+VLOOKUP(F$1,'As Filed'!$A$8:$BV$35,'As Filed'!$L$7,FALSE)+VLOOKUP(F$1,'As Filed'!$A$8:$BV$35,'As Filed'!$M$7,FALSE)</f>
        <v>4082667.3600000003</v>
      </c>
      <c r="G15" s="134">
        <f>VLOOKUP(G$1,'As Filed'!$A$8:$BV$35,'As Filed'!$K$7,FALSE)+VLOOKUP(G$1,'As Filed'!$A$8:$BV$35,'As Filed'!$L$7,FALSE)+VLOOKUP(G$1,'As Filed'!$A$8:$BV$35,'As Filed'!$M$7,FALSE)</f>
        <v>3326374.96</v>
      </c>
      <c r="H15" s="134">
        <f>VLOOKUP(H$1,'As Filed'!$A$8:$BV$35,'As Filed'!$K$7,FALSE)+VLOOKUP(H$1,'As Filed'!$A$8:$BV$35,'As Filed'!$L$7,FALSE)+VLOOKUP(H$1,'As Filed'!$A$8:$BV$35,'As Filed'!$M$7,FALSE)</f>
        <v>1774879.21</v>
      </c>
      <c r="I15" s="134">
        <f>VLOOKUP(I$1,'As Filed'!$A$8:$BV$35,'As Filed'!$K$7,FALSE)+VLOOKUP(I$1,'As Filed'!$A$8:$BV$35,'As Filed'!$L$7,FALSE)+VLOOKUP(I$1,'As Filed'!$A$8:$BV$35,'As Filed'!$M$7,FALSE)</f>
        <v>1122214.67</v>
      </c>
      <c r="J15" s="134">
        <f>VLOOKUP(J$1,'As Filed'!$A$8:$BV$35,'As Filed'!$K$7,FALSE)+VLOOKUP(J$1,'As Filed'!$A$8:$BV$35,'As Filed'!$L$7,FALSE)+VLOOKUP(J$1,'As Filed'!$A$8:$BV$35,'As Filed'!$M$7,FALSE)</f>
        <v>1306912.5899999999</v>
      </c>
      <c r="K15" s="134">
        <f>VLOOKUP(K$1,'As Filed'!$A$8:$BV$35,'As Filed'!$K$7,FALSE)+VLOOKUP(K$1,'As Filed'!$A$8:$BV$35,'As Filed'!$L$7,FALSE)+VLOOKUP(K$1,'As Filed'!$A$8:$BV$35,'As Filed'!$M$7,FALSE)</f>
        <v>1069454.71</v>
      </c>
      <c r="L15" s="134">
        <f>VLOOKUP(L$1,'As Filed'!$A$8:$BV$35,'As Filed'!$K$7,FALSE)+VLOOKUP(L$1,'As Filed'!$A$8:$BV$35,'As Filed'!$L$7,FALSE)+VLOOKUP(L$1,'As Filed'!$A$8:$BV$35,'As Filed'!$M$7,FALSE)</f>
        <v>1363251.31</v>
      </c>
      <c r="M15" s="134">
        <f>VLOOKUP(M$1,'As Filed'!$A$8:$BV$35,'As Filed'!$K$7,FALSE)+VLOOKUP(M$1,'As Filed'!$A$8:$BV$35,'As Filed'!$L$7,FALSE)+VLOOKUP(M$1,'As Filed'!$A$8:$BV$35,'As Filed'!$M$7,FALSE)</f>
        <v>1179481.18</v>
      </c>
      <c r="N15" s="134">
        <f>VLOOKUP(N$1,'As Filed'!$A$8:$BV$35,'As Filed'!$K$7,FALSE)+VLOOKUP(N$1,'As Filed'!$A$8:$BV$35,'As Filed'!$L$7,FALSE)+VLOOKUP(N$1,'As Filed'!$A$8:$BV$35,'As Filed'!$M$7,FALSE)</f>
        <v>1604490.75</v>
      </c>
    </row>
    <row r="16" spans="1:14">
      <c r="A16" s="131"/>
      <c r="B16" s="132" t="s">
        <v>105</v>
      </c>
      <c r="C16" s="134">
        <f>VLOOKUP(C$1,'As Filed'!$A$8:$BV$35,'As Filed'!$N$7,FALSE)</f>
        <v>2305911</v>
      </c>
      <c r="D16" s="134">
        <f>VLOOKUP(D$1,'As Filed'!$A$8:$BV$35,'As Filed'!$N$7,FALSE)</f>
        <v>632989</v>
      </c>
      <c r="E16" s="134">
        <f>VLOOKUP(E$1,'As Filed'!$A$8:$BV$35,'As Filed'!$N$7,FALSE)</f>
        <v>1644186</v>
      </c>
      <c r="F16" s="134">
        <f>VLOOKUP(F$1,'As Filed'!$A$8:$BV$35,'As Filed'!$N$7,FALSE)</f>
        <v>3306285</v>
      </c>
      <c r="G16" s="134">
        <f>VLOOKUP(G$1,'As Filed'!$A$8:$BV$35,'As Filed'!$N$7,FALSE)</f>
        <v>4884846.84</v>
      </c>
      <c r="H16" s="134">
        <f>VLOOKUP(H$1,'As Filed'!$A$8:$BV$35,'As Filed'!$N$7,FALSE)</f>
        <v>875314.56</v>
      </c>
      <c r="I16" s="134">
        <f>VLOOKUP(I$1,'As Filed'!$A$8:$BV$35,'As Filed'!$N$7,FALSE)</f>
        <v>840369</v>
      </c>
      <c r="J16" s="134">
        <f>VLOOKUP(J$1,'As Filed'!$A$8:$BV$35,'As Filed'!$N$7,FALSE)</f>
        <v>1815732</v>
      </c>
      <c r="K16" s="134">
        <f>VLOOKUP(K$1,'As Filed'!$A$8:$BV$35,'As Filed'!$N$7,FALSE)</f>
        <v>1431289</v>
      </c>
      <c r="L16" s="134">
        <f>VLOOKUP(L$1,'As Filed'!$A$8:$BV$35,'As Filed'!$N$7,FALSE)</f>
        <v>854177</v>
      </c>
      <c r="M16" s="134">
        <f>VLOOKUP(M$1,'As Filed'!$A$8:$BV$35,'As Filed'!$N$7,FALSE)</f>
        <v>534390</v>
      </c>
      <c r="N16" s="134">
        <f>VLOOKUP(N$1,'As Filed'!$A$8:$BV$35,'As Filed'!$N$7,FALSE)</f>
        <v>1841036</v>
      </c>
    </row>
    <row r="17" spans="1:14" ht="15">
      <c r="A17" s="131"/>
      <c r="B17" s="132" t="s">
        <v>106</v>
      </c>
      <c r="C17" s="142">
        <f>VLOOKUP(C$1,'As Filed'!$A$8:$BV$35,'As Filed'!$O$7,FALSE)</f>
        <v>2327429</v>
      </c>
      <c r="D17" s="142">
        <f>VLOOKUP(D$1,'As Filed'!$A$8:$BV$35,'As Filed'!$O$7,FALSE)</f>
        <v>619231</v>
      </c>
      <c r="E17" s="142">
        <f>VLOOKUP(E$1,'As Filed'!$A$8:$BV$35,'As Filed'!$O$7,FALSE)</f>
        <v>1612941</v>
      </c>
      <c r="F17" s="142">
        <f>VLOOKUP(F$1,'As Filed'!$A$8:$BV$35,'As Filed'!$O$7,FALSE)</f>
        <v>3242507</v>
      </c>
      <c r="G17" s="142">
        <f>VLOOKUP(G$1,'As Filed'!$A$8:$BV$35,'As Filed'!$O$7,FALSE)</f>
        <v>4718803.33</v>
      </c>
      <c r="H17" s="142">
        <f>VLOOKUP(H$1,'As Filed'!$A$8:$BV$35,'As Filed'!$O$7,FALSE)</f>
        <v>1057524.08</v>
      </c>
      <c r="I17" s="142">
        <f>VLOOKUP(I$1,'As Filed'!$A$8:$BV$35,'As Filed'!$O$7,FALSE)</f>
        <v>829101</v>
      </c>
      <c r="J17" s="142">
        <f>VLOOKUP(J$1,'As Filed'!$A$8:$BV$35,'As Filed'!$O$7,FALSE)</f>
        <v>1631421</v>
      </c>
      <c r="K17" s="142">
        <f>VLOOKUP(K$1,'As Filed'!$A$8:$BV$35,'As Filed'!$O$7,FALSE)</f>
        <v>1336548</v>
      </c>
      <c r="L17" s="142">
        <f>VLOOKUP(L$1,'As Filed'!$A$8:$BV$35,'As Filed'!$O$7,FALSE)</f>
        <v>872993</v>
      </c>
      <c r="M17" s="142">
        <f>VLOOKUP(M$1,'As Filed'!$A$8:$BV$35,'As Filed'!$O$7,FALSE)</f>
        <v>518755</v>
      </c>
      <c r="N17" s="142">
        <f>VLOOKUP(N$1,'As Filed'!$A$8:$BV$35,'As Filed'!$O$7,FALSE)</f>
        <v>1780023</v>
      </c>
    </row>
    <row r="18" spans="1:14">
      <c r="A18" s="131"/>
      <c r="B18" s="132" t="s">
        <v>107</v>
      </c>
      <c r="C18" s="134">
        <f>IF(C17+C22&gt;C16,SUM(C13:C16)-C17, SUM(C13:C15))</f>
        <v>25986078.329999998</v>
      </c>
      <c r="D18" s="134">
        <f t="shared" ref="D18:N18" si="5">IF(D17+D22&gt;D16,SUM(D13:D16)-D17, SUM(D13:D15))</f>
        <v>27324362.27</v>
      </c>
      <c r="E18" s="134">
        <f t="shared" si="5"/>
        <v>29062304.289999999</v>
      </c>
      <c r="F18" s="134">
        <f t="shared" si="5"/>
        <v>36114354.359999999</v>
      </c>
      <c r="G18" s="134">
        <f t="shared" si="5"/>
        <v>34294843.469999999</v>
      </c>
      <c r="H18" s="134">
        <f t="shared" si="5"/>
        <v>29317964.689999998</v>
      </c>
      <c r="I18" s="134">
        <f t="shared" si="5"/>
        <v>26059157.670000002</v>
      </c>
      <c r="J18" s="134">
        <f t="shared" si="5"/>
        <v>27485166.59</v>
      </c>
      <c r="K18" s="134">
        <f t="shared" si="5"/>
        <v>31859554.710000001</v>
      </c>
      <c r="L18" s="134">
        <f t="shared" si="5"/>
        <v>33257625.310000002</v>
      </c>
      <c r="M18" s="134">
        <f t="shared" si="5"/>
        <v>27387315.18</v>
      </c>
      <c r="N18" s="134">
        <f t="shared" si="5"/>
        <v>29147258.75</v>
      </c>
    </row>
    <row r="19" spans="1:14">
      <c r="A19" s="131"/>
      <c r="B19" s="132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</row>
    <row r="20" spans="1:14">
      <c r="A20" s="131" t="s">
        <v>37</v>
      </c>
      <c r="B20" s="132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</row>
    <row r="21" spans="1:14">
      <c r="A21" s="131"/>
      <c r="B21" s="132" t="s">
        <v>3</v>
      </c>
      <c r="C21" s="134">
        <f>VLOOKUP(C$1,'As Filed'!$A$8:$BV$35,'As Filed'!$S$7,FALSE)-VLOOKUP(C$1,'As Filed'!$A$8:$BV$35,'As Filed'!$T$7,FALSE)-VLOOKUP(C$1,'As Filed'!$A$8:$BV$35,'As Filed'!$U$7,FALSE)-VLOOKUP(C$1,'As Filed'!$A$8:$BV$35,'As Filed'!$V$7,FALSE)-VLOOKUP(C$1,'As Filed'!$A$8:$BV$35,'As Filed'!$AE$7,FALSE)</f>
        <v>2090408.77</v>
      </c>
      <c r="D21" s="134">
        <f>VLOOKUP(D$1,'As Filed'!$A$8:$BV$35,'As Filed'!$S$7,FALSE)-VLOOKUP(D$1,'As Filed'!$A$8:$BV$35,'As Filed'!$T$7,FALSE)-VLOOKUP(D$1,'As Filed'!$A$8:$BV$35,'As Filed'!$U$7,FALSE)-VLOOKUP(D$1,'As Filed'!$A$8:$BV$35,'As Filed'!$V$7,FALSE)-VLOOKUP(D$1,'As Filed'!$A$8:$BV$35,'As Filed'!$AE$7,FALSE)</f>
        <v>2037287.3300000005</v>
      </c>
      <c r="E21" s="134">
        <f>VLOOKUP(E$1,'As Filed'!$A$8:$BV$35,'As Filed'!$S$7,FALSE)-VLOOKUP(E$1,'As Filed'!$A$8:$BV$35,'As Filed'!$T$7,FALSE)-VLOOKUP(E$1,'As Filed'!$A$8:$BV$35,'As Filed'!$U$7,FALSE)-VLOOKUP(E$1,'As Filed'!$A$8:$BV$35,'As Filed'!$V$7,FALSE)-VLOOKUP(E$1,'As Filed'!$A$8:$BV$35,'As Filed'!$AE$7,FALSE)</f>
        <v>2347310.63</v>
      </c>
      <c r="F21" s="134">
        <f>VLOOKUP(F$1,'As Filed'!$A$8:$BV$35,'As Filed'!$S$7,FALSE)-VLOOKUP(F$1,'As Filed'!$A$8:$BV$35,'As Filed'!$T$7,FALSE)-VLOOKUP(F$1,'As Filed'!$A$8:$BV$35,'As Filed'!$U$7,FALSE)-VLOOKUP(F$1,'As Filed'!$A$8:$BV$35,'As Filed'!$V$7,FALSE)-VLOOKUP(F$1,'As Filed'!$A$8:$BV$35,'As Filed'!$AE$7,FALSE)</f>
        <v>2958301.7399999993</v>
      </c>
      <c r="G21" s="134">
        <f>VLOOKUP(G$1,'As Filed'!$A$8:$BV$35,'As Filed'!$S$7,FALSE)-VLOOKUP(G$1,'As Filed'!$A$8:$BV$35,'As Filed'!$T$7,FALSE)-VLOOKUP(G$1,'As Filed'!$A$8:$BV$35,'As Filed'!$U$7,FALSE)-VLOOKUP(G$1,'As Filed'!$A$8:$BV$35,'As Filed'!$V$7,FALSE)-VLOOKUP(G$1,'As Filed'!$A$8:$BV$35,'As Filed'!$AE$7,FALSE)</f>
        <v>2493064.5100000002</v>
      </c>
      <c r="H21" s="134">
        <f>VLOOKUP(H$1,'As Filed'!$A$8:$BV$35,'As Filed'!$S$7,FALSE)-VLOOKUP(H$1,'As Filed'!$A$8:$BV$35,'As Filed'!$T$7,FALSE)-VLOOKUP(H$1,'As Filed'!$A$8:$BV$35,'As Filed'!$U$7,FALSE)-VLOOKUP(H$1,'As Filed'!$A$8:$BV$35,'As Filed'!$V$7,FALSE)-VLOOKUP(H$1,'As Filed'!$A$8:$BV$35,'As Filed'!$AE$7,FALSE)</f>
        <v>1669624.73</v>
      </c>
      <c r="I21" s="134">
        <f>VLOOKUP(I$1,'As Filed'!$A$8:$BV$35,'As Filed'!$S$7,FALSE)-VLOOKUP(I$1,'As Filed'!$A$8:$BV$35,'As Filed'!$T$7,FALSE)-VLOOKUP(I$1,'As Filed'!$A$8:$BV$35,'As Filed'!$U$7,FALSE)-VLOOKUP(I$1,'As Filed'!$A$8:$BV$35,'As Filed'!$V$7,FALSE)-VLOOKUP(I$1,'As Filed'!$A$8:$BV$35,'As Filed'!$AE$7,FALSE)</f>
        <v>1411505.5800000005</v>
      </c>
      <c r="J21" s="134">
        <f>VLOOKUP(J$1,'As Filed'!$A$8:$BV$35,'As Filed'!$S$7,FALSE)-VLOOKUP(J$1,'As Filed'!$A$8:$BV$35,'As Filed'!$T$7,FALSE)-VLOOKUP(J$1,'As Filed'!$A$8:$BV$35,'As Filed'!$U$7,FALSE)-VLOOKUP(J$1,'As Filed'!$A$8:$BV$35,'As Filed'!$V$7,FALSE)-VLOOKUP(J$1,'As Filed'!$A$8:$BV$35,'As Filed'!$AE$7,FALSE)</f>
        <v>1324113.3799999999</v>
      </c>
      <c r="K21" s="134">
        <f>VLOOKUP(K$1,'As Filed'!$A$8:$BV$35,'As Filed'!$S$7,FALSE)-VLOOKUP(K$1,'As Filed'!$A$8:$BV$35,'As Filed'!$T$7,FALSE)-VLOOKUP(K$1,'As Filed'!$A$8:$BV$35,'As Filed'!$U$7,FALSE)-VLOOKUP(K$1,'As Filed'!$A$8:$BV$35,'As Filed'!$V$7,FALSE)-VLOOKUP(K$1,'As Filed'!$A$8:$BV$35,'As Filed'!$AE$7,FALSE)</f>
        <v>1652570.15</v>
      </c>
      <c r="L21" s="134">
        <f>VLOOKUP(L$1,'As Filed'!$A$8:$BV$35,'As Filed'!$S$7,FALSE)-VLOOKUP(L$1,'As Filed'!$A$8:$BV$35,'As Filed'!$T$7,FALSE)-VLOOKUP(L$1,'As Filed'!$A$8:$BV$35,'As Filed'!$U$7,FALSE)-VLOOKUP(L$1,'As Filed'!$A$8:$BV$35,'As Filed'!$V$7,FALSE)-VLOOKUP(L$1,'As Filed'!$A$8:$BV$35,'As Filed'!$AE$7,FALSE)</f>
        <v>1376014.8000000003</v>
      </c>
      <c r="M21" s="134">
        <f>VLOOKUP(M$1,'As Filed'!$A$8:$BV$35,'As Filed'!$S$7,FALSE)-VLOOKUP(M$1,'As Filed'!$A$8:$BV$35,'As Filed'!$T$7,FALSE)-VLOOKUP(M$1,'As Filed'!$A$8:$BV$35,'As Filed'!$U$7,FALSE)-VLOOKUP(M$1,'As Filed'!$A$8:$BV$35,'As Filed'!$V$7,FALSE)-VLOOKUP(M$1,'As Filed'!$A$8:$BV$35,'As Filed'!$AE$7,FALSE)</f>
        <v>1675376.4</v>
      </c>
      <c r="N21" s="134">
        <f>VLOOKUP(N$1,'As Filed'!$A$8:$BV$35,'As Filed'!$S$7,FALSE)-VLOOKUP(N$1,'As Filed'!$A$8:$BV$35,'As Filed'!$T$7,FALSE)-VLOOKUP(N$1,'As Filed'!$A$8:$BV$35,'As Filed'!$U$7,FALSE)-VLOOKUP(N$1,'As Filed'!$A$8:$BV$35,'As Filed'!$V$7,FALSE)-VLOOKUP(N$1,'As Filed'!$A$8:$BV$35,'As Filed'!$AE$7,FALSE)</f>
        <v>1937149.4</v>
      </c>
    </row>
    <row r="22" spans="1:14">
      <c r="A22" s="131"/>
      <c r="B22" s="132" t="s">
        <v>108</v>
      </c>
      <c r="C22" s="134">
        <f>VLOOKUP(C$1,'As Filed'!$A$8:$BV$35,'As Filed'!$P$7,FALSE)</f>
        <v>10376</v>
      </c>
      <c r="D22" s="134">
        <f>VLOOKUP(D$1,'As Filed'!$A$8:$BV$35,'As Filed'!$P$7,FALSE)</f>
        <v>22131</v>
      </c>
      <c r="E22" s="134">
        <f>VLOOKUP(E$1,'As Filed'!$A$8:$BV$35,'As Filed'!$P$7,FALSE)</f>
        <v>298716</v>
      </c>
      <c r="F22" s="134">
        <f>VLOOKUP(F$1,'As Filed'!$A$8:$BV$35,'As Filed'!$P$7,FALSE)</f>
        <v>787230</v>
      </c>
      <c r="G22" s="134">
        <f>VLOOKUP(G$1,'As Filed'!$A$8:$BV$35,'As Filed'!$P$7,FALSE)</f>
        <v>985364.44</v>
      </c>
      <c r="H22" s="134">
        <f>VLOOKUP(H$1,'As Filed'!$A$8:$BV$35,'As Filed'!$P$7,FALSE)</f>
        <v>176.46</v>
      </c>
      <c r="I22" s="134">
        <f>VLOOKUP(I$1,'As Filed'!$A$8:$BV$35,'As Filed'!$P$7,FALSE)</f>
        <v>466</v>
      </c>
      <c r="J22" s="134">
        <f>VLOOKUP(J$1,'As Filed'!$A$8:$BV$35,'As Filed'!$P$7,FALSE)</f>
        <v>1598</v>
      </c>
      <c r="K22" s="134">
        <f>VLOOKUP(K$1,'As Filed'!$A$8:$BV$35,'As Filed'!$P$7,FALSE)</f>
        <v>20</v>
      </c>
      <c r="L22" s="134">
        <f>VLOOKUP(L$1,'As Filed'!$A$8:$BV$35,'As Filed'!$P$7,FALSE)</f>
        <v>0</v>
      </c>
      <c r="M22" s="134">
        <f>VLOOKUP(M$1,'As Filed'!$A$8:$BV$35,'As Filed'!$P$7,FALSE)</f>
        <v>1000</v>
      </c>
      <c r="N22" s="134">
        <f>VLOOKUP(N$1,'As Filed'!$A$8:$BV$35,'As Filed'!$P$7,FALSE)</f>
        <v>21960</v>
      </c>
    </row>
    <row r="23" spans="1:14">
      <c r="A23" s="131"/>
      <c r="B23" s="132" t="s">
        <v>27</v>
      </c>
      <c r="C23" s="134">
        <f>VLOOKUP(C$1,'As Filed'!$A$8:$BV$35,'As Filed'!$R$7,FALSE)</f>
        <v>0</v>
      </c>
      <c r="D23" s="134">
        <f>VLOOKUP(D$1,'As Filed'!$A$8:$BV$35,'As Filed'!$R$7,FALSE)</f>
        <v>0</v>
      </c>
      <c r="E23" s="134">
        <f>VLOOKUP(E$1,'As Filed'!$A$8:$BV$35,'As Filed'!$R$7,FALSE)</f>
        <v>0</v>
      </c>
      <c r="F23" s="134">
        <f>VLOOKUP(F$1,'As Filed'!$A$8:$BV$35,'As Filed'!$R$7,FALSE)</f>
        <v>10021.67</v>
      </c>
      <c r="G23" s="134">
        <f>VLOOKUP(G$1,'As Filed'!$A$8:$BV$35,'As Filed'!$R$7,FALSE)</f>
        <v>24393.71</v>
      </c>
      <c r="H23" s="134">
        <f>VLOOKUP(H$1,'As Filed'!$A$8:$BV$35,'As Filed'!$R$7,FALSE)</f>
        <v>158.62</v>
      </c>
      <c r="I23" s="134">
        <f>VLOOKUP(I$1,'As Filed'!$A$8:$BV$35,'As Filed'!$R$7,FALSE)</f>
        <v>0</v>
      </c>
      <c r="J23" s="134">
        <f>VLOOKUP(J$1,'As Filed'!$A$8:$BV$35,'As Filed'!$R$7,FALSE)</f>
        <v>0</v>
      </c>
      <c r="K23" s="134">
        <f>VLOOKUP(K$1,'As Filed'!$A$8:$BV$35,'As Filed'!$R$7,FALSE)</f>
        <v>0</v>
      </c>
      <c r="L23" s="134">
        <f>VLOOKUP(L$1,'As Filed'!$A$8:$BV$35,'As Filed'!$R$7,FALSE)</f>
        <v>0</v>
      </c>
      <c r="M23" s="134">
        <f>VLOOKUP(M$1,'As Filed'!$A$8:$BV$35,'As Filed'!$R$7,FALSE)</f>
        <v>0</v>
      </c>
      <c r="N23" s="134">
        <f>VLOOKUP(N$1,'As Filed'!$A$8:$BV$35,'As Filed'!$R$7,FALSE)</f>
        <v>0</v>
      </c>
    </row>
    <row r="24" spans="1:14">
      <c r="A24" s="131"/>
      <c r="B24" s="143" t="s">
        <v>109</v>
      </c>
      <c r="C24" s="134">
        <f>VLOOKUP(C$1,'As Filed'!$A$8:$BV$35,'As Filed'!$T$7,FALSE)+VLOOKUP(C$1,'As Filed'!$A$8:$BV$35,'As Filed'!$U$7,FALSE)</f>
        <v>323.56</v>
      </c>
      <c r="D24" s="134">
        <f>VLOOKUP(D$1,'As Filed'!$A$8:$BV$35,'As Filed'!$T$7,FALSE)+VLOOKUP(D$1,'As Filed'!$A$8:$BV$35,'As Filed'!$U$7,FALSE)</f>
        <v>230565.47</v>
      </c>
      <c r="E24" s="134">
        <f>VLOOKUP(E$1,'As Filed'!$A$8:$BV$35,'As Filed'!$T$7,FALSE)+VLOOKUP(E$1,'As Filed'!$A$8:$BV$35,'As Filed'!$U$7,FALSE)</f>
        <v>850816.03999999992</v>
      </c>
      <c r="F24" s="134">
        <f>VLOOKUP(F$1,'As Filed'!$A$8:$BV$35,'As Filed'!$T$7,FALSE)+VLOOKUP(F$1,'As Filed'!$A$8:$BV$35,'As Filed'!$U$7,FALSE)</f>
        <v>326076.52</v>
      </c>
      <c r="G24" s="134">
        <f>VLOOKUP(G$1,'As Filed'!$A$8:$BV$35,'As Filed'!$T$7,FALSE)+VLOOKUP(G$1,'As Filed'!$A$8:$BV$35,'As Filed'!$U$7,FALSE)</f>
        <v>166228.28</v>
      </c>
      <c r="H24" s="134">
        <f>VLOOKUP(H$1,'As Filed'!$A$8:$BV$35,'As Filed'!$T$7,FALSE)+VLOOKUP(H$1,'As Filed'!$A$8:$BV$35,'As Filed'!$U$7,FALSE)</f>
        <v>0</v>
      </c>
      <c r="I24" s="134">
        <f>VLOOKUP(I$1,'As Filed'!$A$8:$BV$35,'As Filed'!$T$7,FALSE)+VLOOKUP(I$1,'As Filed'!$A$8:$BV$35,'As Filed'!$U$7,FALSE)</f>
        <v>55056.31</v>
      </c>
      <c r="J24" s="134">
        <f>VLOOKUP(J$1,'As Filed'!$A$8:$BV$35,'As Filed'!$T$7,FALSE)+VLOOKUP(J$1,'As Filed'!$A$8:$BV$35,'As Filed'!$U$7,FALSE)</f>
        <v>0</v>
      </c>
      <c r="K24" s="134">
        <f>VLOOKUP(K$1,'As Filed'!$A$8:$BV$35,'As Filed'!$T$7,FALSE)+VLOOKUP(K$1,'As Filed'!$A$8:$BV$35,'As Filed'!$U$7,FALSE)</f>
        <v>0</v>
      </c>
      <c r="L24" s="134">
        <f>VLOOKUP(L$1,'As Filed'!$A$8:$BV$35,'As Filed'!$T$7,FALSE)+VLOOKUP(L$1,'As Filed'!$A$8:$BV$35,'As Filed'!$U$7,FALSE)</f>
        <v>1278.1300000000001</v>
      </c>
      <c r="M24" s="134">
        <f>VLOOKUP(M$1,'As Filed'!$A$8:$BV$35,'As Filed'!$T$7,FALSE)+VLOOKUP(M$1,'As Filed'!$A$8:$BV$35,'As Filed'!$U$7,FALSE)</f>
        <v>1559.41</v>
      </c>
      <c r="N24" s="134">
        <f>VLOOKUP(N$1,'As Filed'!$A$8:$BV$35,'As Filed'!$T$7,FALSE)+VLOOKUP(N$1,'As Filed'!$A$8:$BV$35,'As Filed'!$U$7,FALSE)</f>
        <v>9084.39</v>
      </c>
    </row>
    <row r="25" spans="1:14" ht="15">
      <c r="A25" s="131"/>
      <c r="B25" s="143" t="s">
        <v>113</v>
      </c>
      <c r="C25" s="142">
        <f>VLOOKUP(C$1,'As Filed'!$A$8:$BV$35,'As Filed'!$V$7,FALSE)</f>
        <v>910534.89</v>
      </c>
      <c r="D25" s="142">
        <f>VLOOKUP(D$1,'As Filed'!$A$8:$BV$35,'As Filed'!$V$7,FALSE)</f>
        <v>2448554.4</v>
      </c>
      <c r="E25" s="142">
        <f>VLOOKUP(E$1,'As Filed'!$A$8:$BV$35,'As Filed'!$V$7,FALSE)</f>
        <v>2027919.25</v>
      </c>
      <c r="F25" s="142">
        <f>VLOOKUP(F$1,'As Filed'!$A$8:$BV$35,'As Filed'!$V$7,FALSE)</f>
        <v>2183841.7000000002</v>
      </c>
      <c r="G25" s="142">
        <f>VLOOKUP(G$1,'As Filed'!$A$8:$BV$35,'As Filed'!$V$7,FALSE)</f>
        <v>1298071.33</v>
      </c>
      <c r="H25" s="142">
        <f>VLOOKUP(H$1,'As Filed'!$A$8:$BV$35,'As Filed'!$V$7,FALSE)</f>
        <v>2323327.25</v>
      </c>
      <c r="I25" s="142">
        <f>VLOOKUP(I$1,'As Filed'!$A$8:$BV$35,'As Filed'!$V$7,FALSE)</f>
        <v>3963562.69</v>
      </c>
      <c r="J25" s="142">
        <f>VLOOKUP(J$1,'As Filed'!$A$8:$BV$35,'As Filed'!$V$7,FALSE)</f>
        <v>1863831.27</v>
      </c>
      <c r="K25" s="142">
        <f>VLOOKUP(K$1,'As Filed'!$A$8:$BV$35,'As Filed'!$V$7,FALSE)</f>
        <v>3179160.19</v>
      </c>
      <c r="L25" s="142">
        <f>VLOOKUP(L$1,'As Filed'!$A$8:$BV$35,'As Filed'!$V$7,FALSE)</f>
        <v>2491593.56</v>
      </c>
      <c r="M25" s="142">
        <f>VLOOKUP(M$1,'As Filed'!$A$8:$BV$35,'As Filed'!$V$7,FALSE)</f>
        <v>386945.35</v>
      </c>
      <c r="N25" s="142">
        <f>VLOOKUP(N$1,'As Filed'!$A$8:$BV$35,'As Filed'!$V$7,FALSE)</f>
        <v>521486.23</v>
      </c>
    </row>
    <row r="26" spans="1:14">
      <c r="A26" s="131"/>
      <c r="B26" s="132" t="s">
        <v>110</v>
      </c>
      <c r="C26" s="134">
        <f t="shared" ref="C26:E26" si="6">IF(C17+C22&gt;C16,SUM(C21,-C22,-C23,C24,C25),SUM(C21,-C23,C24,C25))</f>
        <v>2990891.22</v>
      </c>
      <c r="D26" s="134">
        <f t="shared" si="6"/>
        <v>4694276.2000000011</v>
      </c>
      <c r="E26" s="134">
        <f t="shared" si="6"/>
        <v>4927329.92</v>
      </c>
      <c r="F26" s="134">
        <f>IF(F17+F22&gt;F16,SUM(F21,-F22,-F23,F24,F25),SUM(F21,-F23,F24,F25))</f>
        <v>4670968.2899999991</v>
      </c>
      <c r="G26" s="134">
        <f t="shared" ref="G26:N26" si="7">IF(G17+G22&gt;G16,SUM(G21,-G22,-G23,G24,G25),SUM(G21,-G23,G24,G25))</f>
        <v>2947605.9700000007</v>
      </c>
      <c r="H26" s="134">
        <f t="shared" si="7"/>
        <v>3992616.9</v>
      </c>
      <c r="I26" s="134">
        <f t="shared" si="7"/>
        <v>5430124.5800000001</v>
      </c>
      <c r="J26" s="134">
        <f t="shared" si="7"/>
        <v>3187944.65</v>
      </c>
      <c r="K26" s="134">
        <f t="shared" si="7"/>
        <v>4831730.34</v>
      </c>
      <c r="L26" s="134">
        <f t="shared" si="7"/>
        <v>3868886.49</v>
      </c>
      <c r="M26" s="134">
        <f t="shared" si="7"/>
        <v>2063881.1599999997</v>
      </c>
      <c r="N26" s="134">
        <f t="shared" si="7"/>
        <v>2467720.0199999996</v>
      </c>
    </row>
    <row r="27" spans="1:14">
      <c r="A27" s="131"/>
      <c r="B27" s="132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</row>
    <row r="28" spans="1:14">
      <c r="A28" s="131" t="s">
        <v>111</v>
      </c>
      <c r="B28" s="132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</row>
    <row r="29" spans="1:14">
      <c r="A29" s="131"/>
      <c r="B29" s="132" t="s">
        <v>112</v>
      </c>
      <c r="C29" s="134">
        <f>VLOOKUP(C$1,'As Filed'!$A$8:$BV$35,'As Filed'!$Z$7,FALSE)-VLOOKUP(C$1,'As Filed'!$A$8:$BV$35,'As Filed'!$AA$7,FALSE)-VLOOKUP(C$1,'As Filed'!$A$8:$BV$35,'As Filed'!$AB$7,FALSE)-VLOOKUP(C$1,'As Filed'!$A$8:$BV$35,'As Filed'!$AC$7,FALSE)-VLOOKUP(C$1,'As Filed'!$A$8:$BV$35,'As Filed'!$AD$7,FALSE)</f>
        <v>1219105.7700000009</v>
      </c>
      <c r="D29" s="134">
        <f>VLOOKUP(D$1,'As Filed'!$A$8:$BV$35,'As Filed'!$Z$7,FALSE)-VLOOKUP(D$1,'As Filed'!$A$8:$BV$35,'As Filed'!$AA$7,FALSE)-VLOOKUP(D$1,'As Filed'!$A$8:$BV$35,'As Filed'!$AB$7,FALSE)-VLOOKUP(D$1,'As Filed'!$A$8:$BV$35,'As Filed'!$AC$7,FALSE)-VLOOKUP(D$1,'As Filed'!$A$8:$BV$35,'As Filed'!$AD$7,FALSE)</f>
        <v>3368640.09</v>
      </c>
      <c r="E29" s="134">
        <f>VLOOKUP(E$1,'As Filed'!$A$8:$BV$35,'As Filed'!$Z$7,FALSE)-VLOOKUP(E$1,'As Filed'!$A$8:$BV$35,'As Filed'!$AA$7,FALSE)-VLOOKUP(E$1,'As Filed'!$A$8:$BV$35,'As Filed'!$AB$7,FALSE)-VLOOKUP(E$1,'As Filed'!$A$8:$BV$35,'As Filed'!$AC$7,FALSE)-VLOOKUP(E$1,'As Filed'!$A$8:$BV$35,'As Filed'!$AD$7,FALSE)</f>
        <v>2564981.41</v>
      </c>
      <c r="F29" s="134">
        <f>VLOOKUP(F$1,'As Filed'!$A$8:$BV$35,'As Filed'!$Z$7,FALSE)-VLOOKUP(F$1,'As Filed'!$A$8:$BV$35,'As Filed'!$AA$7,FALSE)-VLOOKUP(F$1,'As Filed'!$A$8:$BV$35,'As Filed'!$AB$7,FALSE)-VLOOKUP(F$1,'As Filed'!$A$8:$BV$35,'As Filed'!$AC$7,FALSE)-VLOOKUP(F$1,'As Filed'!$A$8:$BV$35,'As Filed'!$AD$7,FALSE)</f>
        <v>2719965.03</v>
      </c>
      <c r="G29" s="134">
        <f>VLOOKUP(G$1,'As Filed'!$A$8:$BV$35,'As Filed'!$Z$7,FALSE)-VLOOKUP(G$1,'As Filed'!$A$8:$BV$35,'As Filed'!$AA$7,FALSE)-VLOOKUP(G$1,'As Filed'!$A$8:$BV$35,'As Filed'!$AB$7,FALSE)-VLOOKUP(G$1,'As Filed'!$A$8:$BV$35,'As Filed'!$AC$7,FALSE)-VLOOKUP(G$1,'As Filed'!$A$8:$BV$35,'As Filed'!$AD$7,FALSE)</f>
        <v>1482456.5699999998</v>
      </c>
      <c r="H29" s="134">
        <f>VLOOKUP(H$1,'As Filed'!$A$8:$BV$35,'As Filed'!$Z$7,FALSE)-VLOOKUP(H$1,'As Filed'!$A$8:$BV$35,'As Filed'!$AA$7,FALSE)-VLOOKUP(H$1,'As Filed'!$A$8:$BV$35,'As Filed'!$AB$7,FALSE)-VLOOKUP(H$1,'As Filed'!$A$8:$BV$35,'As Filed'!$AC$7,FALSE)-VLOOKUP(H$1,'As Filed'!$A$8:$BV$35,'As Filed'!$AD$7,FALSE)</f>
        <v>2754186.8700000006</v>
      </c>
      <c r="I29" s="134">
        <f>VLOOKUP(I$1,'As Filed'!$A$8:$BV$35,'As Filed'!$Z$7,FALSE)-VLOOKUP(I$1,'As Filed'!$A$8:$BV$35,'As Filed'!$AA$7,FALSE)-VLOOKUP(I$1,'As Filed'!$A$8:$BV$35,'As Filed'!$AB$7,FALSE)-VLOOKUP(I$1,'As Filed'!$A$8:$BV$35,'As Filed'!$AC$7,FALSE)-VLOOKUP(I$1,'As Filed'!$A$8:$BV$35,'As Filed'!$AD$7,FALSE)</f>
        <v>5002522.5500000017</v>
      </c>
      <c r="J29" s="134">
        <f>VLOOKUP(J$1,'As Filed'!$A$8:$BV$35,'As Filed'!$Z$7,FALSE)-VLOOKUP(J$1,'As Filed'!$A$8:$BV$35,'As Filed'!$AA$7,FALSE)-VLOOKUP(J$1,'As Filed'!$A$8:$BV$35,'As Filed'!$AB$7,FALSE)-VLOOKUP(J$1,'As Filed'!$A$8:$BV$35,'As Filed'!$AC$7,FALSE)-VLOOKUP(J$1,'As Filed'!$A$8:$BV$35,'As Filed'!$AD$7,FALSE)</f>
        <v>5048738.2899999991</v>
      </c>
      <c r="K29" s="134">
        <f>VLOOKUP(K$1,'As Filed'!$A$8:$BV$35,'As Filed'!$Z$7,FALSE)-VLOOKUP(K$1,'As Filed'!$A$8:$BV$35,'As Filed'!$AA$7,FALSE)-VLOOKUP(K$1,'As Filed'!$A$8:$BV$35,'As Filed'!$AB$7,FALSE)-VLOOKUP(K$1,'As Filed'!$A$8:$BV$35,'As Filed'!$AC$7,FALSE)-VLOOKUP(K$1,'As Filed'!$A$8:$BV$35,'As Filed'!$AD$7,FALSE)</f>
        <v>4053917.3200000017</v>
      </c>
      <c r="L29" s="134">
        <f>VLOOKUP(L$1,'As Filed'!$A$8:$BV$35,'As Filed'!$Z$7,FALSE)-VLOOKUP(L$1,'As Filed'!$A$8:$BV$35,'As Filed'!$AA$7,FALSE)-VLOOKUP(L$1,'As Filed'!$A$8:$BV$35,'As Filed'!$AB$7,FALSE)-VLOOKUP(L$1,'As Filed'!$A$8:$BV$35,'As Filed'!$AC$7,FALSE)-VLOOKUP(L$1,'As Filed'!$A$8:$BV$35,'As Filed'!$AD$7,FALSE)</f>
        <v>2538169.2599999998</v>
      </c>
      <c r="M29" s="134">
        <f>VLOOKUP(M$1,'As Filed'!$A$8:$BV$35,'As Filed'!$Z$7,FALSE)-VLOOKUP(M$1,'As Filed'!$A$8:$BV$35,'As Filed'!$AA$7,FALSE)-VLOOKUP(M$1,'As Filed'!$A$8:$BV$35,'As Filed'!$AB$7,FALSE)-VLOOKUP(M$1,'As Filed'!$A$8:$BV$35,'As Filed'!$AC$7,FALSE)-VLOOKUP(M$1,'As Filed'!$A$8:$BV$35,'As Filed'!$AD$7,FALSE)</f>
        <v>403496.27999999985</v>
      </c>
      <c r="N29" s="134">
        <f>VLOOKUP(N$1,'As Filed'!$A$8:$BV$35,'As Filed'!$Z$7,FALSE)-VLOOKUP(N$1,'As Filed'!$A$8:$BV$35,'As Filed'!$AA$7,FALSE)-VLOOKUP(N$1,'As Filed'!$A$8:$BV$35,'As Filed'!$AB$7,FALSE)-VLOOKUP(N$1,'As Filed'!$A$8:$BV$35,'As Filed'!$AC$7,FALSE)-VLOOKUP(N$1,'As Filed'!$A$8:$BV$35,'As Filed'!$AD$7,FALSE)</f>
        <v>564968.60999999929</v>
      </c>
    </row>
    <row r="30" spans="1:14">
      <c r="A30" s="131"/>
      <c r="B30" s="143" t="s">
        <v>109</v>
      </c>
      <c r="C30" s="134">
        <f>VLOOKUP(C$1,'As Filed'!$A$8:$BV$35,'As Filed'!$AA$7,FALSE)+VLOOKUP(C$1,'As Filed'!$A$8:$BV$35,'As Filed'!$AB$7,FALSE)</f>
        <v>8118393</v>
      </c>
      <c r="D30" s="134">
        <f>VLOOKUP(D$1,'As Filed'!$A$8:$BV$35,'As Filed'!$AA$7,FALSE)+VLOOKUP(D$1,'As Filed'!$A$8:$BV$35,'As Filed'!$AB$7,FALSE)</f>
        <v>4953043.5199999996</v>
      </c>
      <c r="E30" s="134">
        <f>VLOOKUP(E$1,'As Filed'!$A$8:$BV$35,'As Filed'!$AA$7,FALSE)+VLOOKUP(E$1,'As Filed'!$A$8:$BV$35,'As Filed'!$AB$7,FALSE)</f>
        <v>3009742.2</v>
      </c>
      <c r="F30" s="134">
        <f>VLOOKUP(F$1,'As Filed'!$A$8:$BV$35,'As Filed'!$AA$7,FALSE)+VLOOKUP(F$1,'As Filed'!$A$8:$BV$35,'As Filed'!$AB$7,FALSE)</f>
        <v>4056642.5900000003</v>
      </c>
      <c r="G30" s="134">
        <f>VLOOKUP(G$1,'As Filed'!$A$8:$BV$35,'As Filed'!$AA$7,FALSE)+VLOOKUP(G$1,'As Filed'!$A$8:$BV$35,'As Filed'!$AB$7,FALSE)</f>
        <v>5039517.84</v>
      </c>
      <c r="H30" s="134">
        <f>VLOOKUP(H$1,'As Filed'!$A$8:$BV$35,'As Filed'!$AA$7,FALSE)+VLOOKUP(H$1,'As Filed'!$A$8:$BV$35,'As Filed'!$AB$7,FALSE)</f>
        <v>8278922.96</v>
      </c>
      <c r="I30" s="134">
        <f>VLOOKUP(I$1,'As Filed'!$A$8:$BV$35,'As Filed'!$AA$7,FALSE)+VLOOKUP(I$1,'As Filed'!$A$8:$BV$35,'As Filed'!$AB$7,FALSE)</f>
        <v>6625524.1599999992</v>
      </c>
      <c r="J30" s="134">
        <f>VLOOKUP(J$1,'As Filed'!$A$8:$BV$35,'As Filed'!$AA$7,FALSE)+VLOOKUP(J$1,'As Filed'!$A$8:$BV$35,'As Filed'!$AB$7,FALSE)</f>
        <v>5409752.5800000001</v>
      </c>
      <c r="K30" s="134">
        <f>VLOOKUP(K$1,'As Filed'!$A$8:$BV$35,'As Filed'!$AA$7,FALSE)+VLOOKUP(K$1,'As Filed'!$A$8:$BV$35,'As Filed'!$AB$7,FALSE)</f>
        <v>9545512.7299999986</v>
      </c>
      <c r="L30" s="134">
        <f>VLOOKUP(L$1,'As Filed'!$A$8:$BV$35,'As Filed'!$AA$7,FALSE)+VLOOKUP(L$1,'As Filed'!$A$8:$BV$35,'As Filed'!$AB$7,FALSE)</f>
        <v>9670814.4299999997</v>
      </c>
      <c r="M30" s="134">
        <f>VLOOKUP(M$1,'As Filed'!$A$8:$BV$35,'As Filed'!$AA$7,FALSE)+VLOOKUP(M$1,'As Filed'!$A$8:$BV$35,'As Filed'!$AB$7,FALSE)</f>
        <v>6444956.79</v>
      </c>
      <c r="N30" s="134">
        <f>VLOOKUP(N$1,'As Filed'!$A$8:$BV$35,'As Filed'!$AA$7,FALSE)+VLOOKUP(N$1,'As Filed'!$A$8:$BV$35,'As Filed'!$AB$7,FALSE)</f>
        <v>7405050.1500000004</v>
      </c>
    </row>
    <row r="31" spans="1:14">
      <c r="A31" s="131"/>
      <c r="B31" s="143" t="s">
        <v>113</v>
      </c>
      <c r="C31" s="134">
        <f>VLOOKUP(C$1,'As Filed'!$A$8:$BV$35,'As Filed'!$AC$7,FALSE)+VLOOKUP(C$1,'As Filed'!$A$8:$BV$35,'As Filed'!$AD$7,FALSE)</f>
        <v>40.86</v>
      </c>
      <c r="D31" s="134">
        <f>VLOOKUP(D$1,'As Filed'!$A$8:$BV$35,'As Filed'!$AC$7,FALSE)+VLOOKUP(D$1,'As Filed'!$A$8:$BV$35,'As Filed'!$AD$7,FALSE)</f>
        <v>27813.82</v>
      </c>
      <c r="E31" s="134">
        <f>VLOOKUP(E$1,'As Filed'!$A$8:$BV$35,'As Filed'!$AC$7,FALSE)+VLOOKUP(E$1,'As Filed'!$A$8:$BV$35,'As Filed'!$AD$7,FALSE)</f>
        <v>45629.96</v>
      </c>
      <c r="F31" s="134">
        <f>VLOOKUP(F$1,'As Filed'!$A$8:$BV$35,'As Filed'!$AC$7,FALSE)+VLOOKUP(F$1,'As Filed'!$A$8:$BV$35,'As Filed'!$AD$7,FALSE)</f>
        <v>33493.449999999997</v>
      </c>
      <c r="G31" s="134">
        <f>VLOOKUP(G$1,'As Filed'!$A$8:$BV$35,'As Filed'!$AC$7,FALSE)+VLOOKUP(G$1,'As Filed'!$A$8:$BV$35,'As Filed'!$AD$7,FALSE)</f>
        <v>7254.9</v>
      </c>
      <c r="H31" s="134">
        <f>VLOOKUP(H$1,'As Filed'!$A$8:$BV$35,'As Filed'!$AC$7,FALSE)+VLOOKUP(H$1,'As Filed'!$A$8:$BV$35,'As Filed'!$AD$7,FALSE)</f>
        <v>0</v>
      </c>
      <c r="I31" s="134">
        <f>VLOOKUP(I$1,'As Filed'!$A$8:$BV$35,'As Filed'!$AC$7,FALSE)+VLOOKUP(I$1,'As Filed'!$A$8:$BV$35,'As Filed'!$AD$7,FALSE)</f>
        <v>768.59</v>
      </c>
      <c r="J31" s="134">
        <f>VLOOKUP(J$1,'As Filed'!$A$8:$BV$35,'As Filed'!$AC$7,FALSE)+VLOOKUP(J$1,'As Filed'!$A$8:$BV$35,'As Filed'!$AD$7,FALSE)</f>
        <v>0</v>
      </c>
      <c r="K31" s="134">
        <f>VLOOKUP(K$1,'As Filed'!$A$8:$BV$35,'As Filed'!$AC$7,FALSE)+VLOOKUP(K$1,'As Filed'!$A$8:$BV$35,'As Filed'!$AD$7,FALSE)</f>
        <v>0</v>
      </c>
      <c r="L31" s="134">
        <f>VLOOKUP(L$1,'As Filed'!$A$8:$BV$35,'As Filed'!$AC$7,FALSE)+VLOOKUP(L$1,'As Filed'!$A$8:$BV$35,'As Filed'!$AD$7,FALSE)</f>
        <v>0</v>
      </c>
      <c r="M31" s="134">
        <f>VLOOKUP(M$1,'As Filed'!$A$8:$BV$35,'As Filed'!$AC$7,FALSE)+VLOOKUP(M$1,'As Filed'!$A$8:$BV$35,'As Filed'!$AD$7,FALSE)</f>
        <v>0</v>
      </c>
      <c r="N31" s="134">
        <f>VLOOKUP(N$1,'As Filed'!$A$8:$BV$35,'As Filed'!$AC$7,FALSE)+VLOOKUP(N$1,'As Filed'!$A$8:$BV$35,'As Filed'!$AD$7,FALSE)</f>
        <v>0</v>
      </c>
    </row>
    <row r="32" spans="1:14" ht="15">
      <c r="A32" s="131"/>
      <c r="B32" s="132" t="s">
        <v>114</v>
      </c>
      <c r="C32" s="142">
        <f>ROUND(C29*0.01,0)</f>
        <v>12191</v>
      </c>
      <c r="D32" s="142">
        <f t="shared" ref="D32:N32" si="8">ROUND(D29*0.01,0)</f>
        <v>33686</v>
      </c>
      <c r="E32" s="142">
        <f t="shared" si="8"/>
        <v>25650</v>
      </c>
      <c r="F32" s="142">
        <f t="shared" si="8"/>
        <v>27200</v>
      </c>
      <c r="G32" s="142">
        <f t="shared" si="8"/>
        <v>14825</v>
      </c>
      <c r="H32" s="142">
        <f t="shared" si="8"/>
        <v>27542</v>
      </c>
      <c r="I32" s="142">
        <f t="shared" si="8"/>
        <v>50025</v>
      </c>
      <c r="J32" s="142">
        <f t="shared" si="8"/>
        <v>50487</v>
      </c>
      <c r="K32" s="142">
        <f t="shared" si="8"/>
        <v>40539</v>
      </c>
      <c r="L32" s="142">
        <f t="shared" si="8"/>
        <v>25382</v>
      </c>
      <c r="M32" s="142">
        <f t="shared" si="8"/>
        <v>4035</v>
      </c>
      <c r="N32" s="142">
        <f t="shared" si="8"/>
        <v>5650</v>
      </c>
    </row>
    <row r="33" spans="1:14">
      <c r="A33" s="131"/>
      <c r="B33" s="132" t="s">
        <v>110</v>
      </c>
      <c r="C33" s="134">
        <f t="shared" ref="C33:D33" si="9">SUM(C29:C32)</f>
        <v>9349730.6300000008</v>
      </c>
      <c r="D33" s="134">
        <f t="shared" si="9"/>
        <v>8383183.4299999997</v>
      </c>
      <c r="E33" s="134">
        <f t="shared" ref="E33:N33" si="10">SUM(E29:E32)</f>
        <v>5646003.5700000003</v>
      </c>
      <c r="F33" s="134">
        <f t="shared" si="10"/>
        <v>6837301.0700000003</v>
      </c>
      <c r="G33" s="134">
        <f t="shared" si="10"/>
        <v>6544054.3100000005</v>
      </c>
      <c r="H33" s="134">
        <f t="shared" si="10"/>
        <v>11060651.83</v>
      </c>
      <c r="I33" s="134">
        <f t="shared" si="10"/>
        <v>11678840.300000001</v>
      </c>
      <c r="J33" s="134">
        <f t="shared" si="10"/>
        <v>10508977.869999999</v>
      </c>
      <c r="K33" s="134">
        <f t="shared" si="10"/>
        <v>13639969.050000001</v>
      </c>
      <c r="L33" s="134">
        <f t="shared" si="10"/>
        <v>12234365.689999999</v>
      </c>
      <c r="M33" s="134">
        <f t="shared" si="10"/>
        <v>6852488.0700000003</v>
      </c>
      <c r="N33" s="134">
        <f t="shared" si="10"/>
        <v>7975668.7599999998</v>
      </c>
    </row>
    <row r="34" spans="1:14">
      <c r="A34" s="131"/>
      <c r="B34" s="132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</row>
    <row r="35" spans="1:14">
      <c r="A35" s="144" t="s">
        <v>115</v>
      </c>
      <c r="B35" s="132"/>
      <c r="C35" s="145">
        <f t="shared" ref="C35:N35" si="11">C$67</f>
        <v>-79125</v>
      </c>
      <c r="D35" s="145">
        <f t="shared" si="11"/>
        <v>-90197</v>
      </c>
      <c r="E35" s="145">
        <f t="shared" si="11"/>
        <v>1239351</v>
      </c>
      <c r="F35" s="145">
        <f t="shared" si="11"/>
        <v>812620</v>
      </c>
      <c r="G35" s="145">
        <f t="shared" si="11"/>
        <v>727191</v>
      </c>
      <c r="H35" s="145">
        <f t="shared" si="11"/>
        <v>-554703</v>
      </c>
      <c r="I35" s="145">
        <f t="shared" si="11"/>
        <v>-778425</v>
      </c>
      <c r="J35" s="145">
        <f t="shared" si="11"/>
        <v>-403356</v>
      </c>
      <c r="K35" s="145">
        <f t="shared" si="11"/>
        <v>18543</v>
      </c>
      <c r="L35" s="145">
        <f t="shared" si="11"/>
        <v>386548</v>
      </c>
      <c r="M35" s="145">
        <f t="shared" si="11"/>
        <v>-230378</v>
      </c>
      <c r="N35" s="145">
        <f t="shared" si="11"/>
        <v>-343483</v>
      </c>
    </row>
    <row r="36" spans="1:14">
      <c r="A36" s="131" t="s">
        <v>116</v>
      </c>
      <c r="B36" s="132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</row>
    <row r="37" spans="1:14">
      <c r="A37" s="131"/>
      <c r="B37" s="132" t="s">
        <v>117</v>
      </c>
      <c r="C37" s="133">
        <f t="shared" ref="C37:N37" si="12">C18+C26-C33-C35</f>
        <v>19706363.919999994</v>
      </c>
      <c r="D37" s="133">
        <f t="shared" si="12"/>
        <v>23725652.039999999</v>
      </c>
      <c r="E37" s="133">
        <f t="shared" si="12"/>
        <v>27104279.640000001</v>
      </c>
      <c r="F37" s="133">
        <f t="shared" si="12"/>
        <v>33135401.579999998</v>
      </c>
      <c r="G37" s="133">
        <f t="shared" si="12"/>
        <v>29971204.129999995</v>
      </c>
      <c r="H37" s="133">
        <f t="shared" si="12"/>
        <v>22804632.759999998</v>
      </c>
      <c r="I37" s="133">
        <f t="shared" si="12"/>
        <v>20588866.949999999</v>
      </c>
      <c r="J37" s="133">
        <f t="shared" si="12"/>
        <v>20567489.369999997</v>
      </c>
      <c r="K37" s="133">
        <f t="shared" si="12"/>
        <v>23032772.999999996</v>
      </c>
      <c r="L37" s="133">
        <f t="shared" si="12"/>
        <v>24505598.110000007</v>
      </c>
      <c r="M37" s="133">
        <f t="shared" si="12"/>
        <v>22829086.27</v>
      </c>
      <c r="N37" s="133">
        <f t="shared" si="12"/>
        <v>23982793.009999998</v>
      </c>
    </row>
    <row r="38" spans="1:14">
      <c r="A38" s="138"/>
      <c r="B38" s="139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</row>
    <row r="39" spans="1:14">
      <c r="A39" s="128" t="s">
        <v>118</v>
      </c>
      <c r="B39" s="129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</row>
    <row r="40" spans="1:14">
      <c r="A40" s="131"/>
      <c r="B40" s="132" t="s">
        <v>119</v>
      </c>
      <c r="C40" s="134">
        <f>VLOOKUP(C$1,'As Filed'!$A$8:$BV$35,'As Filed'!$AG$7,FALSE)-VLOOKUP(C$1,'As Filed'!$A$8:$BV$35,'As Filed'!$AI$7,FALSE)-VLOOKUP(C$1,'As Filed'!$A$8:$BV$35,'As Filed'!$AJ$7,FALSE)</f>
        <v>1140289000</v>
      </c>
      <c r="D40" s="134">
        <f>VLOOKUP(D$1,'As Filed'!$A$8:$BV$35,'As Filed'!$AG$7,FALSE)-VLOOKUP(D$1,'As Filed'!$A$8:$BV$35,'As Filed'!$AI$7,FALSE)-VLOOKUP(D$1,'As Filed'!$A$8:$BV$35,'As Filed'!$AJ$7,FALSE)</f>
        <v>1183486000</v>
      </c>
      <c r="E40" s="134">
        <f>VLOOKUP(E$1,'As Filed'!$A$8:$BV$35,'As Filed'!$AG$7,FALSE)-VLOOKUP(E$1,'As Filed'!$A$8:$BV$35,'As Filed'!$AI$7,FALSE)-VLOOKUP(E$1,'As Filed'!$A$8:$BV$35,'As Filed'!$AJ$7,FALSE)</f>
        <v>1255362000</v>
      </c>
      <c r="F40" s="134">
        <f>VLOOKUP(F$1,'As Filed'!$A$8:$BV$35,'As Filed'!$AG$7,FALSE)-VLOOKUP(F$1,'As Filed'!$A$8:$BV$35,'As Filed'!$AI$7,FALSE)-VLOOKUP(F$1,'As Filed'!$A$8:$BV$35,'As Filed'!$AJ$7,FALSE)</f>
        <v>1537049000</v>
      </c>
      <c r="G40" s="134">
        <f>VLOOKUP(G$1,'As Filed'!$A$8:$BV$35,'As Filed'!$AG$7,FALSE)-VLOOKUP(G$1,'As Filed'!$A$8:$BV$35,'As Filed'!$AI$7,FALSE)-VLOOKUP(G$1,'As Filed'!$A$8:$BV$35,'As Filed'!$AJ$7,FALSE)</f>
        <v>1462945000</v>
      </c>
      <c r="H40" s="134">
        <f>VLOOKUP(H$1,'As Filed'!$A$8:$BV$35,'As Filed'!$AG$7,FALSE)-VLOOKUP(H$1,'As Filed'!$A$8:$BV$35,'As Filed'!$AI$7,FALSE)-VLOOKUP(H$1,'As Filed'!$A$8:$BV$35,'As Filed'!$AJ$7,FALSE)</f>
        <v>1297346000</v>
      </c>
      <c r="I40" s="134">
        <f>VLOOKUP(I$1,'As Filed'!$A$8:$BV$35,'As Filed'!$AG$7,FALSE)-VLOOKUP(I$1,'As Filed'!$A$8:$BV$35,'As Filed'!$AI$7,FALSE)-VLOOKUP(I$1,'As Filed'!$A$8:$BV$35,'As Filed'!$AJ$7,FALSE)</f>
        <v>1195249000</v>
      </c>
      <c r="J40" s="134">
        <f>VLOOKUP(J$1,'As Filed'!$A$8:$BV$35,'As Filed'!$AG$7,FALSE)-VLOOKUP(J$1,'As Filed'!$A$8:$BV$35,'As Filed'!$AI$7,FALSE)-VLOOKUP(J$1,'As Filed'!$A$8:$BV$35,'As Filed'!$AJ$7,FALSE)</f>
        <v>1200660000</v>
      </c>
      <c r="K40" s="134">
        <f>VLOOKUP(K$1,'As Filed'!$A$8:$BV$35,'As Filed'!$AG$7,FALSE)-VLOOKUP(K$1,'As Filed'!$A$8:$BV$35,'As Filed'!$AI$7,FALSE)-VLOOKUP(K$1,'As Filed'!$A$8:$BV$35,'As Filed'!$AJ$7,FALSE)</f>
        <v>1371438000</v>
      </c>
      <c r="L40" s="134">
        <f>VLOOKUP(L$1,'As Filed'!$A$8:$BV$35,'As Filed'!$AG$7,FALSE)-VLOOKUP(L$1,'As Filed'!$A$8:$BV$35,'As Filed'!$AI$7,FALSE)-VLOOKUP(L$1,'As Filed'!$A$8:$BV$35,'As Filed'!$AJ$7,FALSE)</f>
        <v>1385912000</v>
      </c>
      <c r="M40" s="134">
        <f>VLOOKUP(M$1,'As Filed'!$A$8:$BV$35,'As Filed'!$AG$7,FALSE)-VLOOKUP(M$1,'As Filed'!$A$8:$BV$35,'As Filed'!$AI$7,FALSE)-VLOOKUP(M$1,'As Filed'!$A$8:$BV$35,'As Filed'!$AJ$7,FALSE)</f>
        <v>1131339000</v>
      </c>
      <c r="N40" s="134">
        <f>VLOOKUP(N$1,'As Filed'!$A$8:$BV$35,'As Filed'!$AG$7,FALSE)-VLOOKUP(N$1,'As Filed'!$A$8:$BV$35,'As Filed'!$AI$7,FALSE)-VLOOKUP(N$1,'As Filed'!$A$8:$BV$35,'As Filed'!$AJ$7,FALSE)</f>
        <v>1167952000</v>
      </c>
    </row>
    <row r="41" spans="1:14">
      <c r="A41" s="131"/>
      <c r="B41" s="132" t="s">
        <v>120</v>
      </c>
      <c r="C41" s="134">
        <f>VLOOKUP(C$1,'As Filed'!$A$8:$BV$35,'As Filed'!$AK$7,FALSE)-VLOOKUP(C$1,'As Filed'!$A$8:$BV$35,'As Filed'!$AL$7,FALSE)-VLOOKUP(C$1,'As Filed'!$A$8:$BV$35,'As Filed'!$AO$7,FALSE)-VLOOKUP(C$1,'As Filed'!$A$8:$BV$35,'As Filed'!$AP$7,FALSE)</f>
        <v>77070000</v>
      </c>
      <c r="D41" s="134">
        <f>VLOOKUP(D$1,'As Filed'!$A$8:$BV$35,'As Filed'!$AK$7,FALSE)-VLOOKUP(D$1,'As Filed'!$A$8:$BV$35,'As Filed'!$AL$7,FALSE)-VLOOKUP(D$1,'As Filed'!$A$8:$BV$35,'As Filed'!$AO$7,FALSE)-VLOOKUP(D$1,'As Filed'!$A$8:$BV$35,'As Filed'!$AP$7,FALSE)</f>
        <v>72011000</v>
      </c>
      <c r="E41" s="134">
        <f>VLOOKUP(E$1,'As Filed'!$A$8:$BV$35,'As Filed'!$AK$7,FALSE)-VLOOKUP(E$1,'As Filed'!$A$8:$BV$35,'As Filed'!$AL$7,FALSE)-VLOOKUP(E$1,'As Filed'!$A$8:$BV$35,'As Filed'!$AO$7,FALSE)-VLOOKUP(E$1,'As Filed'!$A$8:$BV$35,'As Filed'!$AP$7,FALSE)</f>
        <v>75998168</v>
      </c>
      <c r="F41" s="134">
        <f>VLOOKUP(F$1,'As Filed'!$A$8:$BV$35,'As Filed'!$AK$7,FALSE)-VLOOKUP(F$1,'As Filed'!$A$8:$BV$35,'As Filed'!$AL$7,FALSE)-VLOOKUP(F$1,'As Filed'!$A$8:$BV$35,'As Filed'!$AO$7,FALSE)-VLOOKUP(F$1,'As Filed'!$A$8:$BV$35,'As Filed'!$AP$7,FALSE)</f>
        <v>84673968</v>
      </c>
      <c r="G41" s="134">
        <f>VLOOKUP(G$1,'As Filed'!$A$8:$BV$35,'As Filed'!$AK$7,FALSE)-VLOOKUP(G$1,'As Filed'!$A$8:$BV$35,'As Filed'!$AL$7,FALSE)-VLOOKUP(G$1,'As Filed'!$A$8:$BV$35,'As Filed'!$AO$7,FALSE)-VLOOKUP(G$1,'As Filed'!$A$8:$BV$35,'As Filed'!$AP$7,FALSE)</f>
        <v>74200216</v>
      </c>
      <c r="H41" s="134">
        <f>VLOOKUP(H$1,'As Filed'!$A$8:$BV$35,'As Filed'!$AK$7,FALSE)-VLOOKUP(H$1,'As Filed'!$A$8:$BV$35,'As Filed'!$AL$7,FALSE)-VLOOKUP(H$1,'As Filed'!$A$8:$BV$35,'As Filed'!$AO$7,FALSE)-VLOOKUP(H$1,'As Filed'!$A$8:$BV$35,'As Filed'!$AP$7,FALSE)</f>
        <v>53498120</v>
      </c>
      <c r="I41" s="134">
        <f>VLOOKUP(I$1,'As Filed'!$A$8:$BV$35,'As Filed'!$AK$7,FALSE)-VLOOKUP(I$1,'As Filed'!$A$8:$BV$35,'As Filed'!$AL$7,FALSE)-VLOOKUP(I$1,'As Filed'!$A$8:$BV$35,'As Filed'!$AO$7,FALSE)-VLOOKUP(I$1,'As Filed'!$A$8:$BV$35,'As Filed'!$AP$7,FALSE)</f>
        <v>43030000</v>
      </c>
      <c r="J41" s="134">
        <f>VLOOKUP(J$1,'As Filed'!$A$8:$BV$35,'As Filed'!$AK$7,FALSE)-VLOOKUP(J$1,'As Filed'!$A$8:$BV$35,'As Filed'!$AL$7,FALSE)-VLOOKUP(J$1,'As Filed'!$A$8:$BV$35,'As Filed'!$AO$7,FALSE)-VLOOKUP(J$1,'As Filed'!$A$8:$BV$35,'As Filed'!$AP$7,FALSE)</f>
        <v>49508000</v>
      </c>
      <c r="K41" s="134">
        <f>VLOOKUP(K$1,'As Filed'!$A$8:$BV$35,'As Filed'!$AK$7,FALSE)-VLOOKUP(K$1,'As Filed'!$A$8:$BV$35,'As Filed'!$AL$7,FALSE)-VLOOKUP(K$1,'As Filed'!$A$8:$BV$35,'As Filed'!$AO$7,FALSE)-VLOOKUP(K$1,'As Filed'!$A$8:$BV$35,'As Filed'!$AP$7,FALSE)</f>
        <v>58376000</v>
      </c>
      <c r="L41" s="134">
        <f>VLOOKUP(L$1,'As Filed'!$A$8:$BV$35,'As Filed'!$AK$7,FALSE)-VLOOKUP(L$1,'As Filed'!$A$8:$BV$35,'As Filed'!$AL$7,FALSE)-VLOOKUP(L$1,'As Filed'!$A$8:$BV$35,'As Filed'!$AO$7,FALSE)-VLOOKUP(L$1,'As Filed'!$A$8:$BV$35,'As Filed'!$AP$7,FALSE)</f>
        <v>47550000</v>
      </c>
      <c r="M41" s="134">
        <f>VLOOKUP(M$1,'As Filed'!$A$8:$BV$35,'As Filed'!$AK$7,FALSE)-VLOOKUP(M$1,'As Filed'!$A$8:$BV$35,'As Filed'!$AL$7,FALSE)-VLOOKUP(M$1,'As Filed'!$A$8:$BV$35,'As Filed'!$AO$7,FALSE)-VLOOKUP(M$1,'As Filed'!$A$8:$BV$35,'As Filed'!$AP$7,FALSE)</f>
        <v>58662000</v>
      </c>
      <c r="N41" s="134">
        <f>VLOOKUP(N$1,'As Filed'!$A$8:$BV$35,'As Filed'!$AK$7,FALSE)-VLOOKUP(N$1,'As Filed'!$A$8:$BV$35,'As Filed'!$AL$7,FALSE)-VLOOKUP(N$1,'As Filed'!$A$8:$BV$35,'As Filed'!$AO$7,FALSE)-VLOOKUP(N$1,'As Filed'!$A$8:$BV$35,'As Filed'!$AP$7,FALSE)</f>
        <v>72329000</v>
      </c>
    </row>
    <row r="42" spans="1:14">
      <c r="A42" s="131"/>
      <c r="B42" s="143" t="s">
        <v>109</v>
      </c>
      <c r="C42" s="146">
        <f>VLOOKUP(C$1,'As Filed'!$A$8:$BV$35,'As Filed'!$AO$7,FALSE)</f>
        <v>8000</v>
      </c>
      <c r="D42" s="146">
        <f>VLOOKUP(D$1,'As Filed'!$A$8:$BV$35,'As Filed'!$AO$7,FALSE)</f>
        <v>8230000</v>
      </c>
      <c r="E42" s="146">
        <f>VLOOKUP(E$1,'As Filed'!$A$8:$BV$35,'As Filed'!$AO$7,FALSE)</f>
        <v>21663000</v>
      </c>
      <c r="F42" s="146">
        <f>VLOOKUP(F$1,'As Filed'!$A$8:$BV$35,'As Filed'!$AO$7,FALSE)</f>
        <v>8108000</v>
      </c>
      <c r="G42" s="146">
        <f>VLOOKUP(G$1,'As Filed'!$A$8:$BV$35,'As Filed'!$AO$7,FALSE)</f>
        <v>3723000</v>
      </c>
      <c r="H42" s="146">
        <f>VLOOKUP(H$1,'As Filed'!$A$8:$BV$35,'As Filed'!$AO$7,FALSE)</f>
        <v>0</v>
      </c>
      <c r="I42" s="146">
        <f>VLOOKUP(I$1,'As Filed'!$A$8:$BV$35,'As Filed'!$AO$7,FALSE)</f>
        <v>2102000</v>
      </c>
      <c r="J42" s="146">
        <f>VLOOKUP(J$1,'As Filed'!$A$8:$BV$35,'As Filed'!$AO$7,FALSE)</f>
        <v>0</v>
      </c>
      <c r="K42" s="146">
        <f>VLOOKUP(K$1,'As Filed'!$A$8:$BV$35,'As Filed'!$AO$7,FALSE)</f>
        <v>0</v>
      </c>
      <c r="L42" s="146">
        <f>VLOOKUP(L$1,'As Filed'!$A$8:$BV$35,'As Filed'!$AO$7,FALSE)</f>
        <v>44000</v>
      </c>
      <c r="M42" s="146">
        <f>VLOOKUP(M$1,'As Filed'!$A$8:$BV$35,'As Filed'!$AO$7,FALSE)</f>
        <v>56000</v>
      </c>
      <c r="N42" s="146">
        <f>VLOOKUP(N$1,'As Filed'!$A$8:$BV$35,'As Filed'!$AO$7,FALSE)</f>
        <v>267000</v>
      </c>
    </row>
    <row r="43" spans="1:14" ht="15">
      <c r="A43" s="131"/>
      <c r="B43" s="143" t="s">
        <v>113</v>
      </c>
      <c r="C43" s="147">
        <f>VLOOKUP(C$1,'As Filed'!$A$8:$BV$35,'As Filed'!$AP$7,FALSE)</f>
        <v>32734000</v>
      </c>
      <c r="D43" s="147">
        <f>VLOOKUP(D$1,'As Filed'!$A$8:$BV$35,'As Filed'!$AP$7,FALSE)</f>
        <v>86379000</v>
      </c>
      <c r="E43" s="147">
        <f>VLOOKUP(E$1,'As Filed'!$A$8:$BV$35,'As Filed'!$AP$7,FALSE)</f>
        <v>75035000</v>
      </c>
      <c r="F43" s="147">
        <f>VLOOKUP(F$1,'As Filed'!$A$8:$BV$35,'As Filed'!$AP$7,FALSE)</f>
        <v>76982000</v>
      </c>
      <c r="G43" s="147">
        <f>VLOOKUP(G$1,'As Filed'!$A$8:$BV$35,'As Filed'!$AP$7,FALSE)</f>
        <v>43067000</v>
      </c>
      <c r="H43" s="147">
        <f>VLOOKUP(H$1,'As Filed'!$A$8:$BV$35,'As Filed'!$AP$7,FALSE)</f>
        <v>90092000</v>
      </c>
      <c r="I43" s="147">
        <f>VLOOKUP(I$1,'As Filed'!$A$8:$BV$35,'As Filed'!$AP$7,FALSE)</f>
        <v>158275000</v>
      </c>
      <c r="J43" s="147">
        <f>VLOOKUP(J$1,'As Filed'!$A$8:$BV$35,'As Filed'!$AP$7,FALSE)</f>
        <v>71349000</v>
      </c>
      <c r="K43" s="147">
        <f>VLOOKUP(K$1,'As Filed'!$A$8:$BV$35,'As Filed'!$AP$7,FALSE)</f>
        <v>120983000</v>
      </c>
      <c r="L43" s="147">
        <f>VLOOKUP(L$1,'As Filed'!$A$8:$BV$35,'As Filed'!$AP$7,FALSE)</f>
        <v>93872000</v>
      </c>
      <c r="M43" s="147">
        <f>VLOOKUP(M$1,'As Filed'!$A$8:$BV$35,'As Filed'!$AP$7,FALSE)</f>
        <v>13054000</v>
      </c>
      <c r="N43" s="147">
        <f>VLOOKUP(N$1,'As Filed'!$A$8:$BV$35,'As Filed'!$AP$7,FALSE)</f>
        <v>17109000</v>
      </c>
    </row>
    <row r="44" spans="1:14">
      <c r="A44" s="131"/>
      <c r="B44" s="132" t="s">
        <v>110</v>
      </c>
      <c r="C44" s="134">
        <f t="shared" ref="C44:N44" si="13">SUM(C40:C43)</f>
        <v>1250101000</v>
      </c>
      <c r="D44" s="134">
        <f t="shared" si="13"/>
        <v>1350106000</v>
      </c>
      <c r="E44" s="134">
        <f t="shared" si="13"/>
        <v>1428058168</v>
      </c>
      <c r="F44" s="134">
        <f t="shared" si="13"/>
        <v>1706812968</v>
      </c>
      <c r="G44" s="134">
        <f t="shared" si="13"/>
        <v>1583935216</v>
      </c>
      <c r="H44" s="134">
        <f t="shared" si="13"/>
        <v>1440936120</v>
      </c>
      <c r="I44" s="134">
        <f t="shared" si="13"/>
        <v>1398656000</v>
      </c>
      <c r="J44" s="134">
        <f t="shared" si="13"/>
        <v>1321517000</v>
      </c>
      <c r="K44" s="134">
        <f t="shared" si="13"/>
        <v>1550797000</v>
      </c>
      <c r="L44" s="134">
        <f t="shared" si="13"/>
        <v>1527378000</v>
      </c>
      <c r="M44" s="134">
        <f t="shared" si="13"/>
        <v>1203111000</v>
      </c>
      <c r="N44" s="134">
        <f t="shared" si="13"/>
        <v>1257657000</v>
      </c>
    </row>
    <row r="45" spans="1:14">
      <c r="A45" s="131"/>
      <c r="B45" s="132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</row>
    <row r="46" spans="1:14">
      <c r="A46" s="131"/>
      <c r="B46" s="132" t="s">
        <v>111</v>
      </c>
      <c r="C46" s="134">
        <f>VLOOKUP(C$1,'As Filed'!$A$8:$BV$35,'As Filed'!$AT$7,FALSE)-VLOOKUP(C$1,'As Filed'!$A$8:$BV$35,'As Filed'!$AU$7,FALSE)-VLOOKUP(C$1,'As Filed'!$A$8:$BV$35,'As Filed'!$AV$7,FALSE)-VLOOKUP(C$1,'As Filed'!$A$8:$BV$35,'As Filed'!$AW$7,FALSE)</f>
        <v>45904000</v>
      </c>
      <c r="D46" s="134">
        <f>VLOOKUP(D$1,'As Filed'!$A$8:$BV$35,'As Filed'!$AT$7,FALSE)-VLOOKUP(D$1,'As Filed'!$A$8:$BV$35,'As Filed'!$AU$7,FALSE)-VLOOKUP(D$1,'As Filed'!$A$8:$BV$35,'As Filed'!$AV$7,FALSE)-VLOOKUP(D$1,'As Filed'!$A$8:$BV$35,'As Filed'!$AW$7,FALSE)</f>
        <v>124917000</v>
      </c>
      <c r="E46" s="134">
        <f>VLOOKUP(E$1,'As Filed'!$A$8:$BV$35,'As Filed'!$AT$7,FALSE)-VLOOKUP(E$1,'As Filed'!$A$8:$BV$35,'As Filed'!$AU$7,FALSE)-VLOOKUP(E$1,'As Filed'!$A$8:$BV$35,'As Filed'!$AV$7,FALSE)-VLOOKUP(E$1,'As Filed'!$A$8:$BV$35,'As Filed'!$AW$7,FALSE)</f>
        <v>96244000</v>
      </c>
      <c r="F46" s="134">
        <f>VLOOKUP(F$1,'As Filed'!$A$8:$BV$35,'As Filed'!$AT$7,FALSE)-VLOOKUP(F$1,'As Filed'!$A$8:$BV$35,'As Filed'!$AU$7,FALSE)-VLOOKUP(F$1,'As Filed'!$A$8:$BV$35,'As Filed'!$AV$7,FALSE)-VLOOKUP(F$1,'As Filed'!$A$8:$BV$35,'As Filed'!$AW$7,FALSE)</f>
        <v>96890000</v>
      </c>
      <c r="G46" s="134">
        <f>VLOOKUP(G$1,'As Filed'!$A$8:$BV$35,'As Filed'!$AT$7,FALSE)-VLOOKUP(G$1,'As Filed'!$A$8:$BV$35,'As Filed'!$AU$7,FALSE)-VLOOKUP(G$1,'As Filed'!$A$8:$BV$35,'As Filed'!$AV$7,FALSE)-VLOOKUP(G$1,'As Filed'!$A$8:$BV$35,'As Filed'!$AW$7,FALSE)</f>
        <v>49158000</v>
      </c>
      <c r="H46" s="134">
        <f>VLOOKUP(H$1,'As Filed'!$A$8:$BV$35,'As Filed'!$AT$7,FALSE)-VLOOKUP(H$1,'As Filed'!$A$8:$BV$35,'As Filed'!$AU$7,FALSE)-VLOOKUP(H$1,'As Filed'!$A$8:$BV$35,'As Filed'!$AV$7,FALSE)-VLOOKUP(H$1,'As Filed'!$A$8:$BV$35,'As Filed'!$AW$7,FALSE)</f>
        <v>108739000</v>
      </c>
      <c r="I46" s="134">
        <f>VLOOKUP(I$1,'As Filed'!$A$8:$BV$35,'As Filed'!$AT$7,FALSE)-VLOOKUP(I$1,'As Filed'!$A$8:$BV$35,'As Filed'!$AU$7,FALSE)-VLOOKUP(I$1,'As Filed'!$A$8:$BV$35,'As Filed'!$AV$7,FALSE)-VLOOKUP(I$1,'As Filed'!$A$8:$BV$35,'As Filed'!$AW$7,FALSE)</f>
        <v>205726000</v>
      </c>
      <c r="J46" s="134">
        <f>VLOOKUP(J$1,'As Filed'!$A$8:$BV$35,'As Filed'!$AT$7,FALSE)-VLOOKUP(J$1,'As Filed'!$A$8:$BV$35,'As Filed'!$AU$7,FALSE)-VLOOKUP(J$1,'As Filed'!$A$8:$BV$35,'As Filed'!$AV$7,FALSE)-VLOOKUP(J$1,'As Filed'!$A$8:$BV$35,'As Filed'!$AW$7,FALSE)</f>
        <v>207341000</v>
      </c>
      <c r="K46" s="134">
        <f>VLOOKUP(K$1,'As Filed'!$A$8:$BV$35,'As Filed'!$AT$7,FALSE)-VLOOKUP(K$1,'As Filed'!$A$8:$BV$35,'As Filed'!$AU$7,FALSE)-VLOOKUP(K$1,'As Filed'!$A$8:$BV$35,'As Filed'!$AV$7,FALSE)-VLOOKUP(K$1,'As Filed'!$A$8:$BV$35,'As Filed'!$AW$7,FALSE)</f>
        <v>158716000</v>
      </c>
      <c r="L46" s="134">
        <f>VLOOKUP(L$1,'As Filed'!$A$8:$BV$35,'As Filed'!$AT$7,FALSE)-VLOOKUP(L$1,'As Filed'!$A$8:$BV$35,'As Filed'!$AU$7,FALSE)-VLOOKUP(L$1,'As Filed'!$A$8:$BV$35,'As Filed'!$AV$7,FALSE)-VLOOKUP(L$1,'As Filed'!$A$8:$BV$35,'As Filed'!$AW$7,FALSE)</f>
        <v>95688000</v>
      </c>
      <c r="M46" s="134">
        <f>VLOOKUP(M$1,'As Filed'!$A$8:$BV$35,'As Filed'!$AT$7,FALSE)-VLOOKUP(M$1,'As Filed'!$A$8:$BV$35,'As Filed'!$AU$7,FALSE)-VLOOKUP(M$1,'As Filed'!$A$8:$BV$35,'As Filed'!$AV$7,FALSE)-VLOOKUP(M$1,'As Filed'!$A$8:$BV$35,'As Filed'!$AW$7,FALSE)</f>
        <v>13702000</v>
      </c>
      <c r="N46" s="134">
        <f>VLOOKUP(N$1,'As Filed'!$A$8:$BV$35,'As Filed'!$AT$7,FALSE)-VLOOKUP(N$1,'As Filed'!$A$8:$BV$35,'As Filed'!$AU$7,FALSE)-VLOOKUP(N$1,'As Filed'!$A$8:$BV$35,'As Filed'!$AV$7,FALSE)-VLOOKUP(N$1,'As Filed'!$A$8:$BV$35,'As Filed'!$AW$7,FALSE)</f>
        <v>18865000</v>
      </c>
    </row>
    <row r="47" spans="1:14">
      <c r="A47" s="131"/>
      <c r="B47" s="143" t="s">
        <v>109</v>
      </c>
      <c r="C47" s="134">
        <f>VLOOKUP(C$1,'As Filed'!$A$8:$BV$35,'As Filed'!$AU$7,FALSE)</f>
        <v>367550000</v>
      </c>
      <c r="D47" s="134">
        <f>VLOOKUP(D$1,'As Filed'!$A$8:$BV$35,'As Filed'!$AU$7,FALSE)</f>
        <v>211197000</v>
      </c>
      <c r="E47" s="134">
        <f>VLOOKUP(E$1,'As Filed'!$A$8:$BV$35,'As Filed'!$AU$7,FALSE)</f>
        <v>128241000</v>
      </c>
      <c r="F47" s="134">
        <f>VLOOKUP(F$1,'As Filed'!$A$8:$BV$35,'As Filed'!$AU$7,FALSE)</f>
        <v>165231000</v>
      </c>
      <c r="G47" s="134">
        <f>VLOOKUP(G$1,'As Filed'!$A$8:$BV$35,'As Filed'!$AU$7,FALSE)</f>
        <v>214643000</v>
      </c>
      <c r="H47" s="134">
        <f>VLOOKUP(H$1,'As Filed'!$A$8:$BV$35,'As Filed'!$AU$7,FALSE)</f>
        <v>367228000</v>
      </c>
      <c r="I47" s="134">
        <f>VLOOKUP(I$1,'As Filed'!$A$8:$BV$35,'As Filed'!$AU$7,FALSE)</f>
        <v>298394000</v>
      </c>
      <c r="J47" s="134">
        <f>VLOOKUP(J$1,'As Filed'!$A$8:$BV$35,'As Filed'!$AU$7,FALSE)</f>
        <v>240256000</v>
      </c>
      <c r="K47" s="134">
        <f>VLOOKUP(K$1,'As Filed'!$A$8:$BV$35,'As Filed'!$AU$7,FALSE)</f>
        <v>425541000</v>
      </c>
      <c r="L47" s="134">
        <f>VLOOKUP(L$1,'As Filed'!$A$8:$BV$35,'As Filed'!$AU$7,FALSE)</f>
        <v>436448000</v>
      </c>
      <c r="M47" s="134">
        <f>VLOOKUP(M$1,'As Filed'!$A$8:$BV$35,'As Filed'!$AU$7,FALSE)</f>
        <v>290185000</v>
      </c>
      <c r="N47" s="134">
        <f>VLOOKUP(N$1,'As Filed'!$A$8:$BV$35,'As Filed'!$AU$7,FALSE)</f>
        <v>317379000</v>
      </c>
    </row>
    <row r="48" spans="1:14">
      <c r="A48" s="131"/>
      <c r="B48" s="143" t="s">
        <v>113</v>
      </c>
      <c r="C48" s="134">
        <f>VLOOKUP(C$1,'As Filed'!$A$8:$BV$35,'As Filed'!$AV$7,FALSE)+VLOOKUP(C$1,'As Filed'!$A$8:$BV$35,'As Filed'!$AW$7,FALSE)</f>
        <v>1000</v>
      </c>
      <c r="D48" s="134">
        <f>VLOOKUP(D$1,'As Filed'!$A$8:$BV$35,'As Filed'!$AV$7,FALSE)+VLOOKUP(D$1,'As Filed'!$A$8:$BV$35,'As Filed'!$AW$7,FALSE)</f>
        <v>882000</v>
      </c>
      <c r="E48" s="134">
        <f>VLOOKUP(E$1,'As Filed'!$A$8:$BV$35,'As Filed'!$AV$7,FALSE)+VLOOKUP(E$1,'As Filed'!$A$8:$BV$35,'As Filed'!$AW$7,FALSE)</f>
        <v>1000000</v>
      </c>
      <c r="F48" s="134">
        <f>VLOOKUP(F$1,'As Filed'!$A$8:$BV$35,'As Filed'!$AV$7,FALSE)+VLOOKUP(F$1,'As Filed'!$A$8:$BV$35,'As Filed'!$AW$7,FALSE)</f>
        <v>714000</v>
      </c>
      <c r="G48" s="134">
        <f>VLOOKUP(G$1,'As Filed'!$A$8:$BV$35,'As Filed'!$AV$7,FALSE)+VLOOKUP(G$1,'As Filed'!$A$8:$BV$35,'As Filed'!$AW$7,FALSE)</f>
        <v>177000</v>
      </c>
      <c r="H48" s="134">
        <f>VLOOKUP(H$1,'As Filed'!$A$8:$BV$35,'As Filed'!$AV$7,FALSE)+VLOOKUP(H$1,'As Filed'!$A$8:$BV$35,'As Filed'!$AW$7,FALSE)</f>
        <v>0</v>
      </c>
      <c r="I48" s="134">
        <f>VLOOKUP(I$1,'As Filed'!$A$8:$BV$35,'As Filed'!$AV$7,FALSE)+VLOOKUP(I$1,'As Filed'!$A$8:$BV$35,'As Filed'!$AW$7,FALSE)</f>
        <v>34000</v>
      </c>
      <c r="J48" s="134">
        <f>VLOOKUP(J$1,'As Filed'!$A$8:$BV$35,'As Filed'!$AV$7,FALSE)+VLOOKUP(J$1,'As Filed'!$A$8:$BV$35,'As Filed'!$AW$7,FALSE)</f>
        <v>0</v>
      </c>
      <c r="K48" s="134">
        <f>VLOOKUP(K$1,'As Filed'!$A$8:$BV$35,'As Filed'!$AV$7,FALSE)+VLOOKUP(K$1,'As Filed'!$A$8:$BV$35,'As Filed'!$AW$7,FALSE)</f>
        <v>0</v>
      </c>
      <c r="L48" s="134">
        <f>VLOOKUP(L$1,'As Filed'!$A$8:$BV$35,'As Filed'!$AV$7,FALSE)+VLOOKUP(L$1,'As Filed'!$A$8:$BV$35,'As Filed'!$AW$7,FALSE)</f>
        <v>0</v>
      </c>
      <c r="M48" s="134">
        <f>VLOOKUP(M$1,'As Filed'!$A$8:$BV$35,'As Filed'!$AV$7,FALSE)+VLOOKUP(M$1,'As Filed'!$A$8:$BV$35,'As Filed'!$AW$7,FALSE)</f>
        <v>0</v>
      </c>
      <c r="N48" s="134">
        <f>VLOOKUP(N$1,'As Filed'!$A$8:$BV$35,'As Filed'!$AV$7,FALSE)+VLOOKUP(N$1,'As Filed'!$A$8:$BV$35,'As Filed'!$AW$7,FALSE)</f>
        <v>0</v>
      </c>
    </row>
    <row r="49" spans="1:14">
      <c r="A49" s="131"/>
      <c r="B49" s="152" t="s">
        <v>134</v>
      </c>
      <c r="C49" s="153">
        <f>VLOOKUP(C$1,'As Filed'!$A$8:$BV$35,'As Filed'!$BV$7,FALSE)</f>
        <v>4.8708770057787752E-2</v>
      </c>
      <c r="D49" s="153">
        <f>VLOOKUP(D$1,'As Filed'!$A$8:$BV$35,'As Filed'!$BV$7,FALSE)</f>
        <v>5.3559763357220888E-2</v>
      </c>
      <c r="E49" s="153">
        <f>VLOOKUP(E$1,'As Filed'!$A$8:$BV$35,'As Filed'!$BV$7,FALSE)</f>
        <v>5.761615009729789E-2</v>
      </c>
      <c r="F49" s="153">
        <f>VLOOKUP(F$1,'As Filed'!$A$8:$BV$35,'As Filed'!$BV$7,FALSE)</f>
        <v>6.2870971940904158E-2</v>
      </c>
      <c r="G49" s="153">
        <f>VLOOKUP(G$1,'As Filed'!$A$8:$BV$35,'As Filed'!$BV$7,FALSE)</f>
        <v>6.7702441872549091E-2</v>
      </c>
      <c r="H49" s="153">
        <f>VLOOKUP(H$1,'As Filed'!$A$8:$BV$35,'As Filed'!$BV$7,FALSE)</f>
        <v>6.283310264672487E-2</v>
      </c>
      <c r="I49" s="153">
        <f>VLOOKUP(I$1,'As Filed'!$A$8:$BV$35,'As Filed'!$BV$7,FALSE)</f>
        <v>5.62025519211782E-2</v>
      </c>
      <c r="J49" s="153">
        <f>VLOOKUP(J$1,'As Filed'!$A$8:$BV$35,'As Filed'!$BV$7,FALSE)</f>
        <v>5.1247216797003836E-2</v>
      </c>
      <c r="K49" s="153">
        <f>VLOOKUP(K$1,'As Filed'!$A$8:$BV$35,'As Filed'!$BV$7,FALSE)</f>
        <v>5.7275439383740544E-2</v>
      </c>
      <c r="L49" s="153">
        <f>VLOOKUP(L$1,'As Filed'!$A$8:$BV$35,'As Filed'!$BV$7,FALSE)</f>
        <v>5.656042996813114E-2</v>
      </c>
      <c r="M49" s="153">
        <f>VLOOKUP(M$1,'As Filed'!$A$8:$BV$35,'As Filed'!$BV$7,FALSE)</f>
        <v>5.5138471266621199E-2</v>
      </c>
      <c r="N49" s="153">
        <f>VLOOKUP(N$1,'As Filed'!$A$8:$BV$35,'As Filed'!$BV$7,FALSE)</f>
        <v>5.3747683923975061E-2</v>
      </c>
    </row>
    <row r="50" spans="1:14" ht="15">
      <c r="A50" s="131"/>
      <c r="B50" s="143" t="s">
        <v>136</v>
      </c>
      <c r="C50" s="142">
        <f>ROUND((C44-C46-C47-C48)*ROUND(C49,4),0)</f>
        <v>40744660</v>
      </c>
      <c r="D50" s="142">
        <f t="shared" ref="D50:N50" si="14">ROUND((D44-D46-D47-D48)*ROUND(D49,4),0)</f>
        <v>54302696</v>
      </c>
      <c r="E50" s="142">
        <f t="shared" si="14"/>
        <v>69268214</v>
      </c>
      <c r="F50" s="142">
        <f t="shared" si="14"/>
        <v>90826214</v>
      </c>
      <c r="G50" s="142">
        <f t="shared" si="14"/>
        <v>89361104</v>
      </c>
      <c r="H50" s="142">
        <f t="shared" si="14"/>
        <v>60600061</v>
      </c>
      <c r="I50" s="142">
        <f t="shared" si="14"/>
        <v>50271012</v>
      </c>
      <c r="J50" s="142">
        <f t="shared" si="14"/>
        <v>44744704</v>
      </c>
      <c r="K50" s="142">
        <f t="shared" si="14"/>
        <v>55382742</v>
      </c>
      <c r="L50" s="142">
        <f t="shared" si="14"/>
        <v>56330697</v>
      </c>
      <c r="M50" s="142">
        <f t="shared" si="14"/>
        <v>49547242</v>
      </c>
      <c r="N50" s="142">
        <f t="shared" si="14"/>
        <v>49479878</v>
      </c>
    </row>
    <row r="51" spans="1:14">
      <c r="A51" s="131"/>
      <c r="B51" s="132" t="s">
        <v>110</v>
      </c>
      <c r="C51" s="134">
        <f t="shared" ref="C51:N51" si="15">SUM(C46:C50)</f>
        <v>454199660.0487088</v>
      </c>
      <c r="D51" s="134">
        <f t="shared" si="15"/>
        <v>391298696.05355978</v>
      </c>
      <c r="E51" s="134">
        <f t="shared" si="15"/>
        <v>294753214.05761611</v>
      </c>
      <c r="F51" s="134">
        <f t="shared" si="15"/>
        <v>353661214.06287098</v>
      </c>
      <c r="G51" s="134">
        <f t="shared" si="15"/>
        <v>353339104.06770241</v>
      </c>
      <c r="H51" s="134">
        <f t="shared" si="15"/>
        <v>536567061.06283313</v>
      </c>
      <c r="I51" s="134">
        <f t="shared" si="15"/>
        <v>554425012.05620253</v>
      </c>
      <c r="J51" s="134">
        <f t="shared" si="15"/>
        <v>492341704.05124724</v>
      </c>
      <c r="K51" s="134">
        <f t="shared" si="15"/>
        <v>639639742.05727541</v>
      </c>
      <c r="L51" s="134">
        <f t="shared" si="15"/>
        <v>588466697.05656052</v>
      </c>
      <c r="M51" s="134">
        <f t="shared" si="15"/>
        <v>353434242.05513847</v>
      </c>
      <c r="N51" s="134">
        <f t="shared" si="15"/>
        <v>385723878.05374771</v>
      </c>
    </row>
    <row r="52" spans="1:14">
      <c r="A52" s="131"/>
      <c r="B52" s="132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</row>
    <row r="53" spans="1:14">
      <c r="A53" s="138"/>
      <c r="B53" s="139" t="s">
        <v>121</v>
      </c>
      <c r="C53" s="148">
        <f t="shared" ref="C53:N53" si="16">C44-C51</f>
        <v>795901339.9512912</v>
      </c>
      <c r="D53" s="148">
        <f t="shared" si="16"/>
        <v>958807303.94644022</v>
      </c>
      <c r="E53" s="148">
        <f t="shared" si="16"/>
        <v>1133304953.9423838</v>
      </c>
      <c r="F53" s="148">
        <f t="shared" si="16"/>
        <v>1353151753.937129</v>
      </c>
      <c r="G53" s="148">
        <f t="shared" si="16"/>
        <v>1230596111.9322977</v>
      </c>
      <c r="H53" s="148">
        <f t="shared" si="16"/>
        <v>904369058.93716693</v>
      </c>
      <c r="I53" s="148">
        <f t="shared" si="16"/>
        <v>844230987.94379747</v>
      </c>
      <c r="J53" s="148">
        <f t="shared" si="16"/>
        <v>829175295.94875276</v>
      </c>
      <c r="K53" s="148">
        <f t="shared" si="16"/>
        <v>911157257.94272459</v>
      </c>
      <c r="L53" s="148">
        <f t="shared" si="16"/>
        <v>938911302.94343948</v>
      </c>
      <c r="M53" s="148">
        <f t="shared" si="16"/>
        <v>849676757.94486153</v>
      </c>
      <c r="N53" s="148">
        <f t="shared" si="16"/>
        <v>871933121.94625235</v>
      </c>
    </row>
    <row r="54" spans="1:14">
      <c r="A54" s="177" t="s">
        <v>149</v>
      </c>
      <c r="B54" s="129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</row>
    <row r="55" spans="1:14">
      <c r="A55" s="131"/>
      <c r="B55" s="132" t="s">
        <v>122</v>
      </c>
      <c r="C55" s="136">
        <v>2.2399999999999998E-3</v>
      </c>
      <c r="D55" s="136">
        <v>2.32E-3</v>
      </c>
      <c r="E55" s="136">
        <f>C9</f>
        <v>4.1799999999999997E-3</v>
      </c>
      <c r="F55" s="136">
        <f t="shared" ref="F55:N55" si="17">D9</f>
        <v>4.1600000000000005E-3</v>
      </c>
      <c r="G55" s="136">
        <f t="shared" si="17"/>
        <v>3.3399999999999992E-3</v>
      </c>
      <c r="H55" s="136">
        <f t="shared" si="17"/>
        <v>2.3400000000000018E-3</v>
      </c>
      <c r="I55" s="136">
        <f t="shared" si="17"/>
        <v>2.2100000000000002E-3</v>
      </c>
      <c r="J55" s="136">
        <f t="shared" si="17"/>
        <v>3.0699999999999998E-3</v>
      </c>
      <c r="K55" s="136">
        <f t="shared" si="17"/>
        <v>2.2399999999999989E-3</v>
      </c>
      <c r="L55" s="136">
        <f t="shared" si="17"/>
        <v>2.6499999999999996E-3</v>
      </c>
      <c r="M55" s="136">
        <f t="shared" si="17"/>
        <v>3.1300000000000008E-3</v>
      </c>
      <c r="N55" s="136">
        <f t="shared" si="17"/>
        <v>3.9500000000000021E-3</v>
      </c>
    </row>
    <row r="56" spans="1:14">
      <c r="A56" s="131"/>
      <c r="B56" s="132" t="s">
        <v>123</v>
      </c>
      <c r="C56" s="134">
        <f>VLOOKUP(C$1,'As Filed'!$A$8:$BV$35,'As Filed'!$AX$7,FALSE)-VLOOKUP(C$1,'As Filed'!$A$8:$BV$35,'As Filed'!$AL$7,FALSE)</f>
        <v>828036132</v>
      </c>
      <c r="D56" s="134">
        <f>VLOOKUP(D$1,'As Filed'!$A$8:$BV$35,'As Filed'!$AX$7,FALSE)-VLOOKUP(D$1,'As Filed'!$A$8:$BV$35,'As Filed'!$AL$7,FALSE)</f>
        <v>851042663</v>
      </c>
      <c r="E56" s="134">
        <f>VLOOKUP(E$1,'As Filed'!$A$8:$BV$35,'As Filed'!$AX$7,FALSE)-VLOOKUP(E$1,'As Filed'!$A$8:$BV$35,'As Filed'!$AL$7,FALSE)</f>
        <v>1092396993</v>
      </c>
      <c r="F56" s="134">
        <f>VLOOKUP(F$1,'As Filed'!$A$8:$BV$35,'As Filed'!$AX$7,FALSE)-VLOOKUP(F$1,'As Filed'!$A$8:$BV$35,'As Filed'!$AL$7,FALSE)</f>
        <v>1154148472</v>
      </c>
      <c r="G56" s="134">
        <f>VLOOKUP(G$1,'As Filed'!$A$8:$BV$35,'As Filed'!$AX$7,FALSE)-VLOOKUP(G$1,'As Filed'!$A$8:$BV$35,'As Filed'!$AL$7,FALSE)</f>
        <v>1351026921</v>
      </c>
      <c r="H56" s="134">
        <f>VLOOKUP(H$1,'As Filed'!$A$8:$BV$35,'As Filed'!$AX$7,FALSE)-VLOOKUP(H$1,'As Filed'!$A$8:$BV$35,'As Filed'!$AL$7,FALSE)</f>
        <v>1116099061</v>
      </c>
      <c r="I56" s="134">
        <f>VLOOKUP(I$1,'As Filed'!$A$8:$BV$35,'As Filed'!$AX$7,FALSE)-VLOOKUP(I$1,'As Filed'!$A$8:$BV$35,'As Filed'!$AL$7,FALSE)</f>
        <v>878367270</v>
      </c>
      <c r="J56" s="134">
        <f>VLOOKUP(J$1,'As Filed'!$A$8:$BV$35,'As Filed'!$AX$7,FALSE)-VLOOKUP(J$1,'As Filed'!$A$8:$BV$35,'As Filed'!$AL$7,FALSE)</f>
        <v>772982759</v>
      </c>
      <c r="K56" s="134">
        <f>VLOOKUP(K$1,'As Filed'!$A$8:$BV$35,'As Filed'!$AX$7,FALSE)-VLOOKUP(K$1,'As Filed'!$A$8:$BV$35,'As Filed'!$AL$7,FALSE)</f>
        <v>852508721</v>
      </c>
      <c r="L56" s="134">
        <f>VLOOKUP(L$1,'As Filed'!$A$8:$BV$35,'As Filed'!$AX$7,FALSE)-VLOOKUP(L$1,'As Filed'!$A$8:$BV$35,'As Filed'!$AL$7,FALSE)</f>
        <v>975042588</v>
      </c>
      <c r="M56" s="134">
        <f>VLOOKUP(M$1,'As Filed'!$A$8:$BV$35,'As Filed'!$AX$7,FALSE)-VLOOKUP(M$1,'As Filed'!$A$8:$BV$35,'As Filed'!$AL$7,FALSE)</f>
        <v>837554049</v>
      </c>
      <c r="N56" s="134">
        <f>VLOOKUP(N$1,'As Filed'!$A$8:$BV$35,'As Filed'!$AX$7,FALSE)-VLOOKUP(N$1,'As Filed'!$A$8:$BV$35,'As Filed'!$AL$7,FALSE)</f>
        <v>851953567</v>
      </c>
    </row>
    <row r="57" spans="1:14">
      <c r="A57" s="131" t="s">
        <v>151</v>
      </c>
      <c r="B57" s="132" t="s">
        <v>124</v>
      </c>
      <c r="C57" s="133">
        <f t="shared" ref="C57:N57" si="18">ROUND(C55*C56,0)</f>
        <v>1854801</v>
      </c>
      <c r="D57" s="133">
        <f t="shared" si="18"/>
        <v>1974419</v>
      </c>
      <c r="E57" s="133">
        <f t="shared" si="18"/>
        <v>4566219</v>
      </c>
      <c r="F57" s="133">
        <f t="shared" si="18"/>
        <v>4801258</v>
      </c>
      <c r="G57" s="133">
        <f t="shared" si="18"/>
        <v>4512430</v>
      </c>
      <c r="H57" s="133">
        <f t="shared" si="18"/>
        <v>2611672</v>
      </c>
      <c r="I57" s="133">
        <f t="shared" si="18"/>
        <v>1941192</v>
      </c>
      <c r="J57" s="133">
        <f t="shared" si="18"/>
        <v>2373057</v>
      </c>
      <c r="K57" s="133">
        <f t="shared" si="18"/>
        <v>1909620</v>
      </c>
      <c r="L57" s="133">
        <f t="shared" si="18"/>
        <v>2583863</v>
      </c>
      <c r="M57" s="133">
        <f t="shared" si="18"/>
        <v>2621544</v>
      </c>
      <c r="N57" s="133">
        <f t="shared" si="18"/>
        <v>3365217</v>
      </c>
    </row>
    <row r="58" spans="1:14">
      <c r="A58" s="131"/>
      <c r="B58" s="132" t="s">
        <v>125</v>
      </c>
      <c r="C58" s="146">
        <v>863359867</v>
      </c>
      <c r="D58" s="146">
        <v>889920492</v>
      </c>
      <c r="E58" s="146">
        <f>C5</f>
        <v>795901339.9512912</v>
      </c>
      <c r="F58" s="146">
        <f t="shared" ref="F58:N58" si="19">D5</f>
        <v>958807303.94644022</v>
      </c>
      <c r="G58" s="146">
        <f t="shared" si="19"/>
        <v>1133304953.9423838</v>
      </c>
      <c r="H58" s="146">
        <f t="shared" si="19"/>
        <v>1353151753.937129</v>
      </c>
      <c r="I58" s="146">
        <f t="shared" si="19"/>
        <v>1230596111.9322977</v>
      </c>
      <c r="J58" s="146">
        <f t="shared" si="19"/>
        <v>904369058.93716693</v>
      </c>
      <c r="K58" s="146">
        <f t="shared" si="19"/>
        <v>844230987.94379747</v>
      </c>
      <c r="L58" s="146">
        <f t="shared" si="19"/>
        <v>829175295.94875276</v>
      </c>
      <c r="M58" s="146">
        <f t="shared" si="19"/>
        <v>911157257.94272459</v>
      </c>
      <c r="N58" s="146">
        <f t="shared" si="19"/>
        <v>938911302.94343948</v>
      </c>
    </row>
    <row r="59" spans="1:14">
      <c r="A59" s="131"/>
      <c r="B59" s="132" t="s">
        <v>126</v>
      </c>
      <c r="C59" s="146">
        <v>0</v>
      </c>
      <c r="D59" s="146">
        <v>0</v>
      </c>
      <c r="E59" s="146">
        <v>0</v>
      </c>
      <c r="F59" s="146">
        <v>0</v>
      </c>
      <c r="G59" s="146">
        <v>0</v>
      </c>
      <c r="H59" s="146">
        <v>0</v>
      </c>
      <c r="I59" s="146">
        <v>0</v>
      </c>
      <c r="J59" s="146">
        <v>0</v>
      </c>
      <c r="K59" s="146">
        <v>0</v>
      </c>
      <c r="L59" s="146">
        <v>0</v>
      </c>
      <c r="M59" s="146">
        <v>0</v>
      </c>
      <c r="N59" s="146">
        <v>0</v>
      </c>
    </row>
    <row r="60" spans="1:14">
      <c r="A60" s="131"/>
      <c r="B60" s="132" t="s">
        <v>127</v>
      </c>
      <c r="C60" s="134">
        <f t="shared" ref="C60:N60" si="20">C58-C59</f>
        <v>863359867</v>
      </c>
      <c r="D60" s="134">
        <f t="shared" si="20"/>
        <v>889920492</v>
      </c>
      <c r="E60" s="134">
        <f t="shared" si="20"/>
        <v>795901339.9512912</v>
      </c>
      <c r="F60" s="134">
        <f t="shared" si="20"/>
        <v>958807303.94644022</v>
      </c>
      <c r="G60" s="134">
        <f t="shared" si="20"/>
        <v>1133304953.9423838</v>
      </c>
      <c r="H60" s="134">
        <f t="shared" si="20"/>
        <v>1353151753.937129</v>
      </c>
      <c r="I60" s="134">
        <f t="shared" si="20"/>
        <v>1230596111.9322977</v>
      </c>
      <c r="J60" s="134">
        <f t="shared" si="20"/>
        <v>904369058.93716693</v>
      </c>
      <c r="K60" s="134">
        <f t="shared" si="20"/>
        <v>844230987.94379747</v>
      </c>
      <c r="L60" s="134">
        <f t="shared" si="20"/>
        <v>829175295.94875276</v>
      </c>
      <c r="M60" s="134">
        <f t="shared" si="20"/>
        <v>911157257.94272459</v>
      </c>
      <c r="N60" s="134">
        <f t="shared" si="20"/>
        <v>938911302.94343948</v>
      </c>
    </row>
    <row r="61" spans="1:14">
      <c r="A61" s="131"/>
      <c r="B61" s="132" t="s">
        <v>128</v>
      </c>
      <c r="C61" s="136">
        <v>0</v>
      </c>
      <c r="D61" s="136">
        <v>0</v>
      </c>
      <c r="E61" s="136">
        <v>0</v>
      </c>
      <c r="F61" s="136">
        <v>0</v>
      </c>
      <c r="G61" s="136">
        <v>0</v>
      </c>
      <c r="H61" s="136">
        <v>0</v>
      </c>
      <c r="I61" s="136">
        <v>0</v>
      </c>
      <c r="J61" s="136">
        <v>0</v>
      </c>
      <c r="K61" s="136">
        <v>0</v>
      </c>
      <c r="L61" s="136">
        <v>0</v>
      </c>
      <c r="M61" s="136">
        <v>0</v>
      </c>
      <c r="N61" s="136">
        <v>0</v>
      </c>
    </row>
    <row r="62" spans="1:14">
      <c r="A62" s="131" t="s">
        <v>152</v>
      </c>
      <c r="B62" s="132" t="s">
        <v>129</v>
      </c>
      <c r="C62" s="133">
        <f t="shared" ref="C62:N62" si="21">IF(C61=0,ROUND(C60*C55,0),ROUND(C60*C61,0))</f>
        <v>1933926</v>
      </c>
      <c r="D62" s="133">
        <f t="shared" si="21"/>
        <v>2064616</v>
      </c>
      <c r="E62" s="133">
        <f t="shared" si="21"/>
        <v>3326868</v>
      </c>
      <c r="F62" s="133">
        <f t="shared" si="21"/>
        <v>3988638</v>
      </c>
      <c r="G62" s="133">
        <f t="shared" si="21"/>
        <v>3785239</v>
      </c>
      <c r="H62" s="133">
        <f t="shared" si="21"/>
        <v>3166375</v>
      </c>
      <c r="I62" s="133">
        <f t="shared" si="21"/>
        <v>2719617</v>
      </c>
      <c r="J62" s="133">
        <f t="shared" si="21"/>
        <v>2776413</v>
      </c>
      <c r="K62" s="133">
        <f t="shared" si="21"/>
        <v>1891077</v>
      </c>
      <c r="L62" s="133">
        <f t="shared" si="21"/>
        <v>2197315</v>
      </c>
      <c r="M62" s="133">
        <f t="shared" si="21"/>
        <v>2851922</v>
      </c>
      <c r="N62" s="133">
        <f t="shared" si="21"/>
        <v>3708700</v>
      </c>
    </row>
    <row r="63" spans="1:14">
      <c r="A63" s="131"/>
      <c r="B63" s="132" t="s">
        <v>130</v>
      </c>
      <c r="C63" s="145">
        <f t="shared" ref="C63:N63" si="22">C57-C62</f>
        <v>-79125</v>
      </c>
      <c r="D63" s="145">
        <f t="shared" si="22"/>
        <v>-90197</v>
      </c>
      <c r="E63" s="145">
        <f t="shared" si="22"/>
        <v>1239351</v>
      </c>
      <c r="F63" s="145">
        <f t="shared" si="22"/>
        <v>812620</v>
      </c>
      <c r="G63" s="145">
        <f t="shared" si="22"/>
        <v>727191</v>
      </c>
      <c r="H63" s="145">
        <f t="shared" si="22"/>
        <v>-554703</v>
      </c>
      <c r="I63" s="145">
        <f t="shared" si="22"/>
        <v>-778425</v>
      </c>
      <c r="J63" s="145">
        <f t="shared" si="22"/>
        <v>-403356</v>
      </c>
      <c r="K63" s="145">
        <f t="shared" si="22"/>
        <v>18543</v>
      </c>
      <c r="L63" s="145">
        <f t="shared" si="22"/>
        <v>386548</v>
      </c>
      <c r="M63" s="145">
        <f t="shared" si="22"/>
        <v>-230378</v>
      </c>
      <c r="N63" s="145">
        <f t="shared" si="22"/>
        <v>-343483</v>
      </c>
    </row>
    <row r="64" spans="1:14">
      <c r="A64" s="131"/>
      <c r="B64" s="132" t="s">
        <v>131</v>
      </c>
      <c r="C64" s="134">
        <f t="shared" ref="C64:N64" si="23">C53</f>
        <v>795901339.9512912</v>
      </c>
      <c r="D64" s="134">
        <f t="shared" si="23"/>
        <v>958807303.94644022</v>
      </c>
      <c r="E64" s="134">
        <f t="shared" si="23"/>
        <v>1133304953.9423838</v>
      </c>
      <c r="F64" s="134">
        <f t="shared" si="23"/>
        <v>1353151753.937129</v>
      </c>
      <c r="G64" s="134">
        <f t="shared" si="23"/>
        <v>1230596111.9322977</v>
      </c>
      <c r="H64" s="134">
        <f t="shared" si="23"/>
        <v>904369058.93716693</v>
      </c>
      <c r="I64" s="134">
        <f t="shared" si="23"/>
        <v>844230987.94379747</v>
      </c>
      <c r="J64" s="134">
        <f t="shared" si="23"/>
        <v>829175295.94875276</v>
      </c>
      <c r="K64" s="134">
        <f t="shared" si="23"/>
        <v>911157257.94272459</v>
      </c>
      <c r="L64" s="134">
        <f t="shared" si="23"/>
        <v>938911302.94343948</v>
      </c>
      <c r="M64" s="134">
        <f t="shared" si="23"/>
        <v>849676757.94486153</v>
      </c>
      <c r="N64" s="134">
        <f t="shared" si="23"/>
        <v>871933121.94625235</v>
      </c>
    </row>
    <row r="65" spans="1:14">
      <c r="A65" s="131"/>
      <c r="B65" s="132" t="s">
        <v>127</v>
      </c>
      <c r="C65" s="134">
        <f>C64</f>
        <v>795901339.9512912</v>
      </c>
      <c r="D65" s="134">
        <f t="shared" ref="D65:N65" si="24">D64</f>
        <v>958807303.94644022</v>
      </c>
      <c r="E65" s="134">
        <f t="shared" si="24"/>
        <v>1133304953.9423838</v>
      </c>
      <c r="F65" s="134">
        <f t="shared" si="24"/>
        <v>1353151753.937129</v>
      </c>
      <c r="G65" s="134">
        <f t="shared" si="24"/>
        <v>1230596111.9322977</v>
      </c>
      <c r="H65" s="134">
        <f t="shared" si="24"/>
        <v>904369058.93716693</v>
      </c>
      <c r="I65" s="134">
        <f t="shared" si="24"/>
        <v>844230987.94379747</v>
      </c>
      <c r="J65" s="134">
        <f t="shared" si="24"/>
        <v>829175295.94875276</v>
      </c>
      <c r="K65" s="134">
        <f t="shared" si="24"/>
        <v>911157257.94272459</v>
      </c>
      <c r="L65" s="134">
        <f t="shared" si="24"/>
        <v>938911302.94343948</v>
      </c>
      <c r="M65" s="134">
        <f t="shared" si="24"/>
        <v>849676757.94486153</v>
      </c>
      <c r="N65" s="134">
        <f t="shared" si="24"/>
        <v>871933121.94625235</v>
      </c>
    </row>
    <row r="66" spans="1:14">
      <c r="A66" s="131"/>
      <c r="B66" s="132" t="s">
        <v>132</v>
      </c>
      <c r="C66" s="135">
        <f t="shared" ref="C66:N66" si="25">ROUND(C64/C65,8)</f>
        <v>1</v>
      </c>
      <c r="D66" s="135">
        <f t="shared" si="25"/>
        <v>1</v>
      </c>
      <c r="E66" s="135">
        <f t="shared" si="25"/>
        <v>1</v>
      </c>
      <c r="F66" s="135">
        <f t="shared" si="25"/>
        <v>1</v>
      </c>
      <c r="G66" s="135">
        <f t="shared" si="25"/>
        <v>1</v>
      </c>
      <c r="H66" s="135">
        <f t="shared" si="25"/>
        <v>1</v>
      </c>
      <c r="I66" s="135">
        <f t="shared" si="25"/>
        <v>1</v>
      </c>
      <c r="J66" s="135">
        <f t="shared" si="25"/>
        <v>1</v>
      </c>
      <c r="K66" s="135">
        <f t="shared" si="25"/>
        <v>1</v>
      </c>
      <c r="L66" s="135">
        <f t="shared" si="25"/>
        <v>1</v>
      </c>
      <c r="M66" s="135">
        <f t="shared" si="25"/>
        <v>1</v>
      </c>
      <c r="N66" s="135">
        <f t="shared" si="25"/>
        <v>1</v>
      </c>
    </row>
    <row r="67" spans="1:14">
      <c r="A67" s="138"/>
      <c r="B67" s="139" t="s">
        <v>133</v>
      </c>
      <c r="C67" s="149">
        <f t="shared" ref="C67:N67" si="26">ROUND(C63*C66,0)</f>
        <v>-79125</v>
      </c>
      <c r="D67" s="149">
        <f t="shared" si="26"/>
        <v>-90197</v>
      </c>
      <c r="E67" s="149">
        <f t="shared" si="26"/>
        <v>1239351</v>
      </c>
      <c r="F67" s="149">
        <f t="shared" si="26"/>
        <v>812620</v>
      </c>
      <c r="G67" s="149">
        <f t="shared" si="26"/>
        <v>727191</v>
      </c>
      <c r="H67" s="149">
        <f t="shared" si="26"/>
        <v>-554703</v>
      </c>
      <c r="I67" s="149">
        <f t="shared" si="26"/>
        <v>-778425</v>
      </c>
      <c r="J67" s="149">
        <f t="shared" si="26"/>
        <v>-403356</v>
      </c>
      <c r="K67" s="149">
        <f t="shared" si="26"/>
        <v>18543</v>
      </c>
      <c r="L67" s="149">
        <f t="shared" si="26"/>
        <v>386548</v>
      </c>
      <c r="M67" s="149">
        <f t="shared" si="26"/>
        <v>-230378</v>
      </c>
      <c r="N67" s="149">
        <f t="shared" si="26"/>
        <v>-343483</v>
      </c>
    </row>
    <row r="70" spans="1:14">
      <c r="A70" s="150"/>
    </row>
    <row r="88" spans="6:6">
      <c r="F88" s="126">
        <f>VLOOKUP(F$1,'[1]As Filed'!$A$6:$BQ$32,'[1]As Filed'!$O$5,FALSE)</f>
        <v>6672928.0300000003</v>
      </c>
    </row>
    <row r="89" spans="6:6">
      <c r="F89" s="126">
        <f>VLOOKUP(F$1,'[1]As Filed'!$A$6:$BQ$32,'[1]As Filed'!$P$5,FALSE)</f>
        <v>3775334.39</v>
      </c>
    </row>
    <row r="90" spans="6:6">
      <c r="F90" s="126">
        <f>VLOOKUP(F$1,'[1]As Filed'!$A$6:$BQ$32,'[1]As Filed'!$Q$5,FALSE)</f>
        <v>281308.2</v>
      </c>
    </row>
    <row r="91" spans="6:6">
      <c r="F91" s="151">
        <f>VLOOKUP(F$1,'[1]As Filed'!$A$6:$BQ$32,'[1]As Filed'!$R$5,FALSE)--VLOOKUP(F$1,'[1]As Filed'!$A$6:$BQ$32,'[1]As Filed'!$U$5,FALSE)</f>
        <v>172252.63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1"/>
  <sheetViews>
    <sheetView workbookViewId="0">
      <pane xSplit="2" ySplit="2" topLeftCell="J45" activePane="bottomRight" state="frozen"/>
      <selection pane="topRight" activeCell="C1" sqref="C1"/>
      <selection pane="bottomLeft" activeCell="A3" sqref="A3"/>
      <selection pane="bottomRight" activeCell="N67" sqref="N67"/>
    </sheetView>
  </sheetViews>
  <sheetFormatPr defaultRowHeight="12.75"/>
  <cols>
    <col min="1" max="1" width="9.140625" style="126"/>
    <col min="2" max="14" width="18.7109375" style="126" customWidth="1"/>
    <col min="15" max="16384" width="9.140625" style="126"/>
  </cols>
  <sheetData>
    <row r="1" spans="1:14">
      <c r="C1" s="127">
        <v>40634</v>
      </c>
      <c r="D1" s="127">
        <f>EOMONTH(C1,0)+1</f>
        <v>40664</v>
      </c>
      <c r="E1" s="127">
        <f t="shared" ref="E1:N1" si="0">EOMONTH(D1,0)+1</f>
        <v>40695</v>
      </c>
      <c r="F1" s="127">
        <f t="shared" si="0"/>
        <v>40725</v>
      </c>
      <c r="G1" s="127">
        <f t="shared" si="0"/>
        <v>40756</v>
      </c>
      <c r="H1" s="127">
        <f t="shared" si="0"/>
        <v>40787</v>
      </c>
      <c r="I1" s="127">
        <f t="shared" si="0"/>
        <v>40817</v>
      </c>
      <c r="J1" s="127">
        <f t="shared" si="0"/>
        <v>40848</v>
      </c>
      <c r="K1" s="127">
        <f t="shared" si="0"/>
        <v>40878</v>
      </c>
      <c r="L1" s="127">
        <f t="shared" si="0"/>
        <v>40909</v>
      </c>
      <c r="M1" s="127">
        <f t="shared" si="0"/>
        <v>40940</v>
      </c>
      <c r="N1" s="127">
        <f t="shared" si="0"/>
        <v>40969</v>
      </c>
    </row>
    <row r="3" spans="1:14">
      <c r="A3" s="128" t="s">
        <v>95</v>
      </c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</row>
    <row r="4" spans="1:14">
      <c r="A4" s="131" t="s">
        <v>60</v>
      </c>
      <c r="B4" s="132" t="s">
        <v>96</v>
      </c>
      <c r="C4" s="133">
        <f t="shared" ref="C4:N4" si="1">C$37</f>
        <v>19706363.919999994</v>
      </c>
      <c r="D4" s="133">
        <f t="shared" si="1"/>
        <v>23725652.039999999</v>
      </c>
      <c r="E4" s="133">
        <f t="shared" si="1"/>
        <v>27129912.640000001</v>
      </c>
      <c r="F4" s="133">
        <f t="shared" si="1"/>
        <v>33139905.579999998</v>
      </c>
      <c r="G4" s="133">
        <f t="shared" si="1"/>
        <v>29973647.129999995</v>
      </c>
      <c r="H4" s="133">
        <f t="shared" si="1"/>
        <v>22802645.759999998</v>
      </c>
      <c r="I4" s="133">
        <f t="shared" si="1"/>
        <v>20584107.949999999</v>
      </c>
      <c r="J4" s="133">
        <f t="shared" si="1"/>
        <v>20565756.369999997</v>
      </c>
      <c r="K4" s="133">
        <f t="shared" si="1"/>
        <v>22944915.999999996</v>
      </c>
      <c r="L4" s="133">
        <f t="shared" si="1"/>
        <v>24299777.110000007</v>
      </c>
      <c r="M4" s="133">
        <f t="shared" si="1"/>
        <v>22786529.27</v>
      </c>
      <c r="N4" s="133">
        <f t="shared" si="1"/>
        <v>23919811.009999998</v>
      </c>
    </row>
    <row r="5" spans="1:14">
      <c r="A5" s="131" t="s">
        <v>97</v>
      </c>
      <c r="B5" s="132" t="s">
        <v>98</v>
      </c>
      <c r="C5" s="134">
        <f t="shared" ref="C5:N5" si="2">C$53</f>
        <v>797805412.9512912</v>
      </c>
      <c r="D5" s="134">
        <f t="shared" si="2"/>
        <v>959421589.94644022</v>
      </c>
      <c r="E5" s="134">
        <f t="shared" si="2"/>
        <v>1134036443.9423838</v>
      </c>
      <c r="F5" s="134">
        <f t="shared" si="2"/>
        <v>1354338860.937129</v>
      </c>
      <c r="G5" s="134">
        <f t="shared" si="2"/>
        <v>1231639063.9322977</v>
      </c>
      <c r="H5" s="134">
        <f t="shared" si="2"/>
        <v>905095564.93716693</v>
      </c>
      <c r="I5" s="134">
        <f t="shared" si="2"/>
        <v>817393090.94379747</v>
      </c>
      <c r="J5" s="134">
        <f t="shared" si="2"/>
        <v>803341369.94875276</v>
      </c>
      <c r="K5" s="134">
        <f t="shared" si="2"/>
        <v>888731367.94272459</v>
      </c>
      <c r="L5" s="134">
        <f t="shared" si="2"/>
        <v>916141399.94343948</v>
      </c>
      <c r="M5" s="134">
        <f t="shared" si="2"/>
        <v>824193748.94486153</v>
      </c>
      <c r="N5" s="134">
        <f t="shared" si="2"/>
        <v>851895218.94625235</v>
      </c>
    </row>
    <row r="6" spans="1:14">
      <c r="A6" s="131"/>
      <c r="B6" s="132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</row>
    <row r="7" spans="1:14">
      <c r="A7" s="131"/>
      <c r="B7" s="132"/>
      <c r="C7" s="136">
        <f t="shared" ref="C7:N7" si="3">IF(C5=0,0,ROUND(C4/C5,5))</f>
        <v>2.47E-2</v>
      </c>
      <c r="D7" s="136">
        <f t="shared" si="3"/>
        <v>2.4729999999999999E-2</v>
      </c>
      <c r="E7" s="136">
        <f t="shared" si="3"/>
        <v>2.392E-2</v>
      </c>
      <c r="F7" s="136">
        <f t="shared" si="3"/>
        <v>2.4469999999999999E-2</v>
      </c>
      <c r="G7" s="136">
        <f t="shared" si="3"/>
        <v>2.4340000000000001E-2</v>
      </c>
      <c r="H7" s="136">
        <f t="shared" si="3"/>
        <v>2.5190000000000001E-2</v>
      </c>
      <c r="I7" s="136">
        <f t="shared" si="3"/>
        <v>2.5180000000000001E-2</v>
      </c>
      <c r="J7" s="136">
        <f t="shared" si="3"/>
        <v>2.5600000000000001E-2</v>
      </c>
      <c r="K7" s="136">
        <f t="shared" si="3"/>
        <v>2.5819999999999999E-2</v>
      </c>
      <c r="L7" s="136">
        <f t="shared" si="3"/>
        <v>2.6519999999999998E-2</v>
      </c>
      <c r="M7" s="136">
        <f t="shared" si="3"/>
        <v>2.7650000000000001E-2</v>
      </c>
      <c r="N7" s="136">
        <f t="shared" si="3"/>
        <v>2.8080000000000001E-2</v>
      </c>
    </row>
    <row r="8" spans="1:14">
      <c r="A8" s="131" t="s">
        <v>99</v>
      </c>
      <c r="B8" s="132"/>
      <c r="C8" s="136">
        <v>2.0580000000000001E-2</v>
      </c>
      <c r="D8" s="136">
        <v>2.0580000000000001E-2</v>
      </c>
      <c r="E8" s="136">
        <v>2.0580000000000001E-2</v>
      </c>
      <c r="F8" s="136">
        <v>2.215E-2</v>
      </c>
      <c r="G8" s="136">
        <v>2.215E-2</v>
      </c>
      <c r="H8" s="136">
        <v>2.215E-2</v>
      </c>
      <c r="I8" s="136">
        <v>2.215E-2</v>
      </c>
      <c r="J8" s="136">
        <v>2.215E-2</v>
      </c>
      <c r="K8" s="136">
        <v>2.215E-2</v>
      </c>
      <c r="L8" s="136">
        <v>2.215E-2</v>
      </c>
      <c r="M8" s="136">
        <v>2.215E-2</v>
      </c>
      <c r="N8" s="136">
        <v>2.215E-2</v>
      </c>
    </row>
    <row r="9" spans="1:14">
      <c r="A9" s="131" t="s">
        <v>100</v>
      </c>
      <c r="B9" s="132"/>
      <c r="C9" s="137">
        <f t="shared" ref="C9:N9" si="4">C7-C8</f>
        <v>4.1199999999999987E-3</v>
      </c>
      <c r="D9" s="137">
        <f t="shared" si="4"/>
        <v>4.1499999999999974E-3</v>
      </c>
      <c r="E9" s="137">
        <f t="shared" si="4"/>
        <v>3.3399999999999992E-3</v>
      </c>
      <c r="F9" s="137">
        <f t="shared" si="4"/>
        <v>2.3199999999999991E-3</v>
      </c>
      <c r="G9" s="137">
        <f t="shared" si="4"/>
        <v>2.190000000000001E-3</v>
      </c>
      <c r="H9" s="137">
        <f t="shared" si="4"/>
        <v>3.040000000000001E-3</v>
      </c>
      <c r="I9" s="137">
        <f t="shared" si="4"/>
        <v>3.0300000000000014E-3</v>
      </c>
      <c r="J9" s="137">
        <f t="shared" si="4"/>
        <v>3.4500000000000017E-3</v>
      </c>
      <c r="K9" s="137">
        <f t="shared" si="4"/>
        <v>3.6699999999999997E-3</v>
      </c>
      <c r="L9" s="137">
        <f t="shared" si="4"/>
        <v>4.3699999999999989E-3</v>
      </c>
      <c r="M9" s="137">
        <f t="shared" si="4"/>
        <v>5.5000000000000014E-3</v>
      </c>
      <c r="N9" s="137">
        <f t="shared" si="4"/>
        <v>5.9300000000000012E-3</v>
      </c>
    </row>
    <row r="10" spans="1:14">
      <c r="A10" s="138"/>
      <c r="B10" s="139"/>
      <c r="C10" s="140"/>
      <c r="D10" s="140"/>
      <c r="E10" s="140"/>
      <c r="F10" s="140"/>
      <c r="G10" s="140"/>
      <c r="H10" s="140"/>
      <c r="I10" s="141"/>
      <c r="J10" s="141"/>
      <c r="K10" s="141"/>
      <c r="L10" s="141"/>
      <c r="M10" s="141"/>
      <c r="N10" s="141"/>
    </row>
    <row r="11" spans="1:14">
      <c r="A11" s="128" t="s">
        <v>101</v>
      </c>
      <c r="B11" s="129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</row>
    <row r="12" spans="1:14">
      <c r="A12" s="131" t="s">
        <v>58</v>
      </c>
      <c r="B12" s="132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</row>
    <row r="13" spans="1:14">
      <c r="A13" s="131"/>
      <c r="B13" s="132" t="s">
        <v>102</v>
      </c>
      <c r="C13" s="134">
        <v>23534122</v>
      </c>
      <c r="D13" s="134">
        <v>24806903</v>
      </c>
      <c r="E13" s="134">
        <v>26041006</v>
      </c>
      <c r="F13" s="134">
        <v>31787411</v>
      </c>
      <c r="G13" s="134">
        <v>30584942</v>
      </c>
      <c r="H13" s="134">
        <v>27614430</v>
      </c>
      <c r="I13" s="134">
        <v>24900487</v>
      </c>
      <c r="J13" s="134">
        <v>25792832</v>
      </c>
      <c r="K13" s="134">
        <v>30438703</v>
      </c>
      <c r="L13" s="134">
        <v>31855369</v>
      </c>
      <c r="M13" s="134">
        <v>26023750</v>
      </c>
      <c r="N13" s="134">
        <v>27342341</v>
      </c>
    </row>
    <row r="14" spans="1:14">
      <c r="A14" s="131"/>
      <c r="B14" s="132" t="s">
        <v>103</v>
      </c>
      <c r="C14" s="134">
        <v>18575</v>
      </c>
      <c r="D14" s="134">
        <v>245530</v>
      </c>
      <c r="E14" s="134">
        <v>85139</v>
      </c>
      <c r="F14" s="134">
        <v>180498</v>
      </c>
      <c r="G14" s="134">
        <v>217483</v>
      </c>
      <c r="H14" s="134">
        <v>110865</v>
      </c>
      <c r="I14" s="134">
        <v>36456</v>
      </c>
      <c r="J14" s="134">
        <v>385422</v>
      </c>
      <c r="K14" s="134">
        <v>351397</v>
      </c>
      <c r="L14" s="134">
        <v>57821</v>
      </c>
      <c r="M14" s="134">
        <v>184084</v>
      </c>
      <c r="N14" s="134">
        <v>200427</v>
      </c>
    </row>
    <row r="15" spans="1:14">
      <c r="A15" s="131"/>
      <c r="B15" s="132" t="s">
        <v>104</v>
      </c>
      <c r="C15" s="134">
        <f>VLOOKUP(C$1,'As Filed'!$A$8:$BV$35,'As Filed'!$K$7,FALSE)+VLOOKUP(C$1,'As Filed'!$A$8:$BV$35,'As Filed'!$L$7,FALSE)+VLOOKUP(C$1,'As Filed'!$A$8:$BV$35,'As Filed'!$M$7,FALSE)</f>
        <v>2454899.33</v>
      </c>
      <c r="D15" s="134">
        <f>VLOOKUP(D$1,'As Filed'!$A$8:$BV$35,'As Filed'!$K$7,FALSE)+VLOOKUP(D$1,'As Filed'!$A$8:$BV$35,'As Filed'!$L$7,FALSE)+VLOOKUP(D$1,'As Filed'!$A$8:$BV$35,'As Filed'!$M$7,FALSE)</f>
        <v>2258171.27</v>
      </c>
      <c r="E15" s="134">
        <f>VLOOKUP(E$1,'As Filed'!$A$8:$BV$35,'As Filed'!$K$7,FALSE)+VLOOKUP(E$1,'As Filed'!$A$8:$BV$35,'As Filed'!$L$7,FALSE)+VLOOKUP(E$1,'As Filed'!$A$8:$BV$35,'As Filed'!$M$7,FALSE)</f>
        <v>2904914.29</v>
      </c>
      <c r="F15" s="134">
        <f>VLOOKUP(F$1,'As Filed'!$A$8:$BV$35,'As Filed'!$K$7,FALSE)+VLOOKUP(F$1,'As Filed'!$A$8:$BV$35,'As Filed'!$L$7,FALSE)+VLOOKUP(F$1,'As Filed'!$A$8:$BV$35,'As Filed'!$M$7,FALSE)</f>
        <v>4082667.3600000003</v>
      </c>
      <c r="G15" s="134">
        <f>VLOOKUP(G$1,'As Filed'!$A$8:$BV$35,'As Filed'!$K$7,FALSE)+VLOOKUP(G$1,'As Filed'!$A$8:$BV$35,'As Filed'!$L$7,FALSE)+VLOOKUP(G$1,'As Filed'!$A$8:$BV$35,'As Filed'!$M$7,FALSE)</f>
        <v>3326374.96</v>
      </c>
      <c r="H15" s="134">
        <f>VLOOKUP(H$1,'As Filed'!$A$8:$BV$35,'As Filed'!$K$7,FALSE)+VLOOKUP(H$1,'As Filed'!$A$8:$BV$35,'As Filed'!$L$7,FALSE)+VLOOKUP(H$1,'As Filed'!$A$8:$BV$35,'As Filed'!$M$7,FALSE)</f>
        <v>1774879.21</v>
      </c>
      <c r="I15" s="134">
        <f>VLOOKUP(I$1,'As Filed'!$A$8:$BV$35,'As Filed'!$K$7,FALSE)+VLOOKUP(I$1,'As Filed'!$A$8:$BV$35,'As Filed'!$L$7,FALSE)+VLOOKUP(I$1,'As Filed'!$A$8:$BV$35,'As Filed'!$M$7,FALSE)</f>
        <v>1122214.67</v>
      </c>
      <c r="J15" s="134">
        <f>VLOOKUP(J$1,'As Filed'!$A$8:$BV$35,'As Filed'!$K$7,FALSE)+VLOOKUP(J$1,'As Filed'!$A$8:$BV$35,'As Filed'!$L$7,FALSE)+VLOOKUP(J$1,'As Filed'!$A$8:$BV$35,'As Filed'!$M$7,FALSE)</f>
        <v>1306912.5899999999</v>
      </c>
      <c r="K15" s="134">
        <f>VLOOKUP(K$1,'As Filed'!$A$8:$BV$35,'As Filed'!$K$7,FALSE)+VLOOKUP(K$1,'As Filed'!$A$8:$BV$35,'As Filed'!$L$7,FALSE)+VLOOKUP(K$1,'As Filed'!$A$8:$BV$35,'As Filed'!$M$7,FALSE)</f>
        <v>1069454.71</v>
      </c>
      <c r="L15" s="134">
        <f>VLOOKUP(L$1,'As Filed'!$A$8:$BV$35,'As Filed'!$K$7,FALSE)+VLOOKUP(L$1,'As Filed'!$A$8:$BV$35,'As Filed'!$L$7,FALSE)+VLOOKUP(L$1,'As Filed'!$A$8:$BV$35,'As Filed'!$M$7,FALSE)</f>
        <v>1363251.31</v>
      </c>
      <c r="M15" s="134">
        <f>VLOOKUP(M$1,'As Filed'!$A$8:$BV$35,'As Filed'!$K$7,FALSE)+VLOOKUP(M$1,'As Filed'!$A$8:$BV$35,'As Filed'!$L$7,FALSE)+VLOOKUP(M$1,'As Filed'!$A$8:$BV$35,'As Filed'!$M$7,FALSE)</f>
        <v>1179481.18</v>
      </c>
      <c r="N15" s="134">
        <f>VLOOKUP(N$1,'As Filed'!$A$8:$BV$35,'As Filed'!$K$7,FALSE)+VLOOKUP(N$1,'As Filed'!$A$8:$BV$35,'As Filed'!$L$7,FALSE)+VLOOKUP(N$1,'As Filed'!$A$8:$BV$35,'As Filed'!$M$7,FALSE)</f>
        <v>1604490.75</v>
      </c>
    </row>
    <row r="16" spans="1:14">
      <c r="A16" s="131"/>
      <c r="B16" s="132" t="s">
        <v>105</v>
      </c>
      <c r="C16" s="134">
        <f>VLOOKUP(C$1,'As Filed'!$A$8:$BV$35,'As Filed'!$N$7,FALSE)</f>
        <v>2305911</v>
      </c>
      <c r="D16" s="134">
        <f>VLOOKUP(D$1,'As Filed'!$A$8:$BV$35,'As Filed'!$N$7,FALSE)</f>
        <v>632989</v>
      </c>
      <c r="E16" s="134">
        <f>VLOOKUP(E$1,'As Filed'!$A$8:$BV$35,'As Filed'!$N$7,FALSE)</f>
        <v>1644186</v>
      </c>
      <c r="F16" s="134">
        <f>VLOOKUP(F$1,'As Filed'!$A$8:$BV$35,'As Filed'!$N$7,FALSE)</f>
        <v>3306285</v>
      </c>
      <c r="G16" s="134">
        <f>VLOOKUP(G$1,'As Filed'!$A$8:$BV$35,'As Filed'!$N$7,FALSE)</f>
        <v>4884846.84</v>
      </c>
      <c r="H16" s="134">
        <f>VLOOKUP(H$1,'As Filed'!$A$8:$BV$35,'As Filed'!$N$7,FALSE)</f>
        <v>875314.56</v>
      </c>
      <c r="I16" s="134">
        <f>VLOOKUP(I$1,'As Filed'!$A$8:$BV$35,'As Filed'!$N$7,FALSE)</f>
        <v>840369</v>
      </c>
      <c r="J16" s="134">
        <f>VLOOKUP(J$1,'As Filed'!$A$8:$BV$35,'As Filed'!$N$7,FALSE)</f>
        <v>1815732</v>
      </c>
      <c r="K16" s="134">
        <f>VLOOKUP(K$1,'As Filed'!$A$8:$BV$35,'As Filed'!$N$7,FALSE)</f>
        <v>1431289</v>
      </c>
      <c r="L16" s="134">
        <f>VLOOKUP(L$1,'As Filed'!$A$8:$BV$35,'As Filed'!$N$7,FALSE)</f>
        <v>854177</v>
      </c>
      <c r="M16" s="134">
        <f>VLOOKUP(M$1,'As Filed'!$A$8:$BV$35,'As Filed'!$N$7,FALSE)</f>
        <v>534390</v>
      </c>
      <c r="N16" s="134">
        <f>VLOOKUP(N$1,'As Filed'!$A$8:$BV$35,'As Filed'!$N$7,FALSE)</f>
        <v>1841036</v>
      </c>
    </row>
    <row r="17" spans="1:14" ht="15">
      <c r="A17" s="131"/>
      <c r="B17" s="132" t="s">
        <v>106</v>
      </c>
      <c r="C17" s="142">
        <f>VLOOKUP(C$1,'As Filed'!$A$8:$BV$35,'As Filed'!$O$7,FALSE)</f>
        <v>2327429</v>
      </c>
      <c r="D17" s="142">
        <f>VLOOKUP(D$1,'As Filed'!$A$8:$BV$35,'As Filed'!$O$7,FALSE)</f>
        <v>619231</v>
      </c>
      <c r="E17" s="142">
        <f>VLOOKUP(E$1,'As Filed'!$A$8:$BV$35,'As Filed'!$O$7,FALSE)</f>
        <v>1612941</v>
      </c>
      <c r="F17" s="142">
        <f>VLOOKUP(F$1,'As Filed'!$A$8:$BV$35,'As Filed'!$O$7,FALSE)</f>
        <v>3242507</v>
      </c>
      <c r="G17" s="142">
        <f>VLOOKUP(G$1,'As Filed'!$A$8:$BV$35,'As Filed'!$O$7,FALSE)</f>
        <v>4718803.33</v>
      </c>
      <c r="H17" s="142">
        <f>VLOOKUP(H$1,'As Filed'!$A$8:$BV$35,'As Filed'!$O$7,FALSE)</f>
        <v>1057524.08</v>
      </c>
      <c r="I17" s="142">
        <f>VLOOKUP(I$1,'As Filed'!$A$8:$BV$35,'As Filed'!$O$7,FALSE)</f>
        <v>829101</v>
      </c>
      <c r="J17" s="142">
        <f>VLOOKUP(J$1,'As Filed'!$A$8:$BV$35,'As Filed'!$O$7,FALSE)</f>
        <v>1631421</v>
      </c>
      <c r="K17" s="142">
        <f>VLOOKUP(K$1,'As Filed'!$A$8:$BV$35,'As Filed'!$O$7,FALSE)</f>
        <v>1336548</v>
      </c>
      <c r="L17" s="142">
        <f>VLOOKUP(L$1,'As Filed'!$A$8:$BV$35,'As Filed'!$O$7,FALSE)</f>
        <v>872993</v>
      </c>
      <c r="M17" s="142">
        <f>VLOOKUP(M$1,'As Filed'!$A$8:$BV$35,'As Filed'!$O$7,FALSE)</f>
        <v>518755</v>
      </c>
      <c r="N17" s="142">
        <f>VLOOKUP(N$1,'As Filed'!$A$8:$BV$35,'As Filed'!$O$7,FALSE)</f>
        <v>1780023</v>
      </c>
    </row>
    <row r="18" spans="1:14">
      <c r="A18" s="131"/>
      <c r="B18" s="132" t="s">
        <v>107</v>
      </c>
      <c r="C18" s="134">
        <f>IF(C17+C22&gt;C16,SUM(C13:C16)-C17, SUM(C13:C15))</f>
        <v>25986078.329999998</v>
      </c>
      <c r="D18" s="134">
        <f t="shared" ref="D18:N18" si="5">IF(D17+D22&gt;D16,SUM(D13:D16)-D17, SUM(D13:D15))</f>
        <v>27324362.27</v>
      </c>
      <c r="E18" s="134">
        <f t="shared" si="5"/>
        <v>29062304.289999999</v>
      </c>
      <c r="F18" s="134">
        <f t="shared" si="5"/>
        <v>36114354.359999999</v>
      </c>
      <c r="G18" s="134">
        <f t="shared" si="5"/>
        <v>34294843.469999999</v>
      </c>
      <c r="H18" s="134">
        <f t="shared" si="5"/>
        <v>29317964.689999998</v>
      </c>
      <c r="I18" s="134">
        <f t="shared" si="5"/>
        <v>26059157.670000002</v>
      </c>
      <c r="J18" s="134">
        <f t="shared" si="5"/>
        <v>27485166.59</v>
      </c>
      <c r="K18" s="134">
        <f t="shared" si="5"/>
        <v>31859554.710000001</v>
      </c>
      <c r="L18" s="134">
        <f t="shared" si="5"/>
        <v>33257625.310000002</v>
      </c>
      <c r="M18" s="134">
        <f t="shared" si="5"/>
        <v>27387315.18</v>
      </c>
      <c r="N18" s="134">
        <f t="shared" si="5"/>
        <v>29147258.75</v>
      </c>
    </row>
    <row r="19" spans="1:14">
      <c r="A19" s="131"/>
      <c r="B19" s="132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</row>
    <row r="20" spans="1:14">
      <c r="A20" s="131" t="s">
        <v>37</v>
      </c>
      <c r="B20" s="132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</row>
    <row r="21" spans="1:14">
      <c r="A21" s="131"/>
      <c r="B21" s="132" t="s">
        <v>3</v>
      </c>
      <c r="C21" s="134">
        <f>VLOOKUP(C$1,'As Filed'!$A$8:$BV$35,'As Filed'!$S$7,FALSE)-VLOOKUP(C$1,'As Filed'!$A$8:$BV$35,'As Filed'!$T$7,FALSE)-VLOOKUP(C$1,'As Filed'!$A$8:$BV$35,'As Filed'!$U$7,FALSE)-VLOOKUP(C$1,'As Filed'!$A$8:$BV$35,'As Filed'!$V$7,FALSE)-VLOOKUP(C$1,'As Filed'!$A$8:$BV$35,'As Filed'!$AE$7,FALSE)</f>
        <v>2090408.77</v>
      </c>
      <c r="D21" s="134">
        <f>VLOOKUP(D$1,'As Filed'!$A$8:$BV$35,'As Filed'!$S$7,FALSE)-VLOOKUP(D$1,'As Filed'!$A$8:$BV$35,'As Filed'!$T$7,FALSE)-VLOOKUP(D$1,'As Filed'!$A$8:$BV$35,'As Filed'!$U$7,FALSE)-VLOOKUP(D$1,'As Filed'!$A$8:$BV$35,'As Filed'!$V$7,FALSE)-VLOOKUP(D$1,'As Filed'!$A$8:$BV$35,'As Filed'!$AE$7,FALSE)</f>
        <v>2037287.3300000005</v>
      </c>
      <c r="E21" s="134">
        <f>VLOOKUP(E$1,'As Filed'!$A$8:$BV$35,'As Filed'!$S$7,FALSE)-VLOOKUP(E$1,'As Filed'!$A$8:$BV$35,'As Filed'!$T$7,FALSE)-VLOOKUP(E$1,'As Filed'!$A$8:$BV$35,'As Filed'!$U$7,FALSE)-VLOOKUP(E$1,'As Filed'!$A$8:$BV$35,'As Filed'!$V$7,FALSE)-VLOOKUP(E$1,'As Filed'!$A$8:$BV$35,'As Filed'!$AE$7,FALSE)</f>
        <v>2347310.63</v>
      </c>
      <c r="F21" s="134">
        <f>VLOOKUP(F$1,'As Filed'!$A$8:$BV$35,'As Filed'!$S$7,FALSE)-VLOOKUP(F$1,'As Filed'!$A$8:$BV$35,'As Filed'!$T$7,FALSE)-VLOOKUP(F$1,'As Filed'!$A$8:$BV$35,'As Filed'!$U$7,FALSE)-VLOOKUP(F$1,'As Filed'!$A$8:$BV$35,'As Filed'!$V$7,FALSE)-VLOOKUP(F$1,'As Filed'!$A$8:$BV$35,'As Filed'!$AE$7,FALSE)</f>
        <v>2958301.7399999993</v>
      </c>
      <c r="G21" s="134">
        <f>VLOOKUP(G$1,'As Filed'!$A$8:$BV$35,'As Filed'!$S$7,FALSE)-VLOOKUP(G$1,'As Filed'!$A$8:$BV$35,'As Filed'!$T$7,FALSE)-VLOOKUP(G$1,'As Filed'!$A$8:$BV$35,'As Filed'!$U$7,FALSE)-VLOOKUP(G$1,'As Filed'!$A$8:$BV$35,'As Filed'!$V$7,FALSE)-VLOOKUP(G$1,'As Filed'!$A$8:$BV$35,'As Filed'!$AE$7,FALSE)</f>
        <v>2493064.5100000002</v>
      </c>
      <c r="H21" s="134">
        <f>VLOOKUP(H$1,'As Filed'!$A$8:$BV$35,'As Filed'!$S$7,FALSE)-VLOOKUP(H$1,'As Filed'!$A$8:$BV$35,'As Filed'!$T$7,FALSE)-VLOOKUP(H$1,'As Filed'!$A$8:$BV$35,'As Filed'!$U$7,FALSE)-VLOOKUP(H$1,'As Filed'!$A$8:$BV$35,'As Filed'!$V$7,FALSE)-VLOOKUP(H$1,'As Filed'!$A$8:$BV$35,'As Filed'!$AE$7,FALSE)</f>
        <v>1669624.73</v>
      </c>
      <c r="I21" s="134">
        <f>VLOOKUP(I$1,'As Filed'!$A$8:$BV$35,'As Filed'!$S$7,FALSE)-VLOOKUP(I$1,'As Filed'!$A$8:$BV$35,'As Filed'!$T$7,FALSE)-VLOOKUP(I$1,'As Filed'!$A$8:$BV$35,'As Filed'!$U$7,FALSE)-VLOOKUP(I$1,'As Filed'!$A$8:$BV$35,'As Filed'!$V$7,FALSE)-VLOOKUP(I$1,'As Filed'!$A$8:$BV$35,'As Filed'!$AE$7,FALSE)</f>
        <v>1411505.5800000005</v>
      </c>
      <c r="J21" s="134">
        <f>VLOOKUP(J$1,'As Filed'!$A$8:$BV$35,'As Filed'!$S$7,FALSE)-VLOOKUP(J$1,'As Filed'!$A$8:$BV$35,'As Filed'!$T$7,FALSE)-VLOOKUP(J$1,'As Filed'!$A$8:$BV$35,'As Filed'!$U$7,FALSE)-VLOOKUP(J$1,'As Filed'!$A$8:$BV$35,'As Filed'!$V$7,FALSE)-VLOOKUP(J$1,'As Filed'!$A$8:$BV$35,'As Filed'!$AE$7,FALSE)</f>
        <v>1324113.3799999999</v>
      </c>
      <c r="K21" s="134">
        <f>VLOOKUP(K$1,'As Filed'!$A$8:$BV$35,'As Filed'!$S$7,FALSE)-VLOOKUP(K$1,'As Filed'!$A$8:$BV$35,'As Filed'!$T$7,FALSE)-VLOOKUP(K$1,'As Filed'!$A$8:$BV$35,'As Filed'!$U$7,FALSE)-VLOOKUP(K$1,'As Filed'!$A$8:$BV$35,'As Filed'!$V$7,FALSE)-VLOOKUP(K$1,'As Filed'!$A$8:$BV$35,'As Filed'!$AE$7,FALSE)</f>
        <v>1652570.15</v>
      </c>
      <c r="L21" s="134">
        <f>VLOOKUP(L$1,'As Filed'!$A$8:$BV$35,'As Filed'!$S$7,FALSE)-VLOOKUP(L$1,'As Filed'!$A$8:$BV$35,'As Filed'!$T$7,FALSE)-VLOOKUP(L$1,'As Filed'!$A$8:$BV$35,'As Filed'!$U$7,FALSE)-VLOOKUP(L$1,'As Filed'!$A$8:$BV$35,'As Filed'!$V$7,FALSE)-VLOOKUP(L$1,'As Filed'!$A$8:$BV$35,'As Filed'!$AE$7,FALSE)</f>
        <v>1376014.8000000003</v>
      </c>
      <c r="M21" s="134">
        <f>VLOOKUP(M$1,'As Filed'!$A$8:$BV$35,'As Filed'!$S$7,FALSE)-VLOOKUP(M$1,'As Filed'!$A$8:$BV$35,'As Filed'!$T$7,FALSE)-VLOOKUP(M$1,'As Filed'!$A$8:$BV$35,'As Filed'!$U$7,FALSE)-VLOOKUP(M$1,'As Filed'!$A$8:$BV$35,'As Filed'!$V$7,FALSE)-VLOOKUP(M$1,'As Filed'!$A$8:$BV$35,'As Filed'!$AE$7,FALSE)</f>
        <v>1675376.4</v>
      </c>
      <c r="N21" s="134">
        <f>VLOOKUP(N$1,'As Filed'!$A$8:$BV$35,'As Filed'!$S$7,FALSE)-VLOOKUP(N$1,'As Filed'!$A$8:$BV$35,'As Filed'!$T$7,FALSE)-VLOOKUP(N$1,'As Filed'!$A$8:$BV$35,'As Filed'!$U$7,FALSE)-VLOOKUP(N$1,'As Filed'!$A$8:$BV$35,'As Filed'!$V$7,FALSE)-VLOOKUP(N$1,'As Filed'!$A$8:$BV$35,'As Filed'!$AE$7,FALSE)</f>
        <v>1937149.4</v>
      </c>
    </row>
    <row r="22" spans="1:14">
      <c r="A22" s="131"/>
      <c r="B22" s="132" t="s">
        <v>108</v>
      </c>
      <c r="C22" s="134">
        <f>VLOOKUP(C$1,'As Filed'!$A$8:$BV$35,'As Filed'!$P$7,FALSE)</f>
        <v>10376</v>
      </c>
      <c r="D22" s="134">
        <f>VLOOKUP(D$1,'As Filed'!$A$8:$BV$35,'As Filed'!$P$7,FALSE)</f>
        <v>22131</v>
      </c>
      <c r="E22" s="134">
        <f>VLOOKUP(E$1,'As Filed'!$A$8:$BV$35,'As Filed'!$P$7,FALSE)</f>
        <v>298716</v>
      </c>
      <c r="F22" s="134">
        <f>VLOOKUP(F$1,'As Filed'!$A$8:$BV$35,'As Filed'!$P$7,FALSE)</f>
        <v>787230</v>
      </c>
      <c r="G22" s="134">
        <f>VLOOKUP(G$1,'As Filed'!$A$8:$BV$35,'As Filed'!$P$7,FALSE)</f>
        <v>985364.44</v>
      </c>
      <c r="H22" s="134">
        <f>VLOOKUP(H$1,'As Filed'!$A$8:$BV$35,'As Filed'!$P$7,FALSE)</f>
        <v>176.46</v>
      </c>
      <c r="I22" s="134">
        <f>VLOOKUP(I$1,'As Filed'!$A$8:$BV$35,'As Filed'!$P$7,FALSE)</f>
        <v>466</v>
      </c>
      <c r="J22" s="134">
        <f>VLOOKUP(J$1,'As Filed'!$A$8:$BV$35,'As Filed'!$P$7,FALSE)</f>
        <v>1598</v>
      </c>
      <c r="K22" s="134">
        <f>VLOOKUP(K$1,'As Filed'!$A$8:$BV$35,'As Filed'!$P$7,FALSE)</f>
        <v>20</v>
      </c>
      <c r="L22" s="134">
        <f>VLOOKUP(L$1,'As Filed'!$A$8:$BV$35,'As Filed'!$P$7,FALSE)</f>
        <v>0</v>
      </c>
      <c r="M22" s="134">
        <f>VLOOKUP(M$1,'As Filed'!$A$8:$BV$35,'As Filed'!$P$7,FALSE)</f>
        <v>1000</v>
      </c>
      <c r="N22" s="134">
        <f>VLOOKUP(N$1,'As Filed'!$A$8:$BV$35,'As Filed'!$P$7,FALSE)</f>
        <v>21960</v>
      </c>
    </row>
    <row r="23" spans="1:14">
      <c r="A23" s="131"/>
      <c r="B23" s="132" t="s">
        <v>27</v>
      </c>
      <c r="C23" s="134">
        <f>VLOOKUP(C$1,'As Filed'!$A$8:$BV$35,'As Filed'!$R$7,FALSE)</f>
        <v>0</v>
      </c>
      <c r="D23" s="134">
        <f>VLOOKUP(D$1,'As Filed'!$A$8:$BV$35,'As Filed'!$R$7,FALSE)</f>
        <v>0</v>
      </c>
      <c r="E23" s="134">
        <f>VLOOKUP(E$1,'As Filed'!$A$8:$BV$35,'As Filed'!$R$7,FALSE)</f>
        <v>0</v>
      </c>
      <c r="F23" s="134">
        <f>VLOOKUP(F$1,'As Filed'!$A$8:$BV$35,'As Filed'!$R$7,FALSE)</f>
        <v>10021.67</v>
      </c>
      <c r="G23" s="134">
        <f>VLOOKUP(G$1,'As Filed'!$A$8:$BV$35,'As Filed'!$R$7,FALSE)</f>
        <v>24393.71</v>
      </c>
      <c r="H23" s="134">
        <f>VLOOKUP(H$1,'As Filed'!$A$8:$BV$35,'As Filed'!$R$7,FALSE)</f>
        <v>158.62</v>
      </c>
      <c r="I23" s="134">
        <f>VLOOKUP(I$1,'As Filed'!$A$8:$BV$35,'As Filed'!$R$7,FALSE)</f>
        <v>0</v>
      </c>
      <c r="J23" s="134">
        <f>VLOOKUP(J$1,'As Filed'!$A$8:$BV$35,'As Filed'!$R$7,FALSE)</f>
        <v>0</v>
      </c>
      <c r="K23" s="134">
        <f>VLOOKUP(K$1,'As Filed'!$A$8:$BV$35,'As Filed'!$R$7,FALSE)</f>
        <v>0</v>
      </c>
      <c r="L23" s="134">
        <f>VLOOKUP(L$1,'As Filed'!$A$8:$BV$35,'As Filed'!$R$7,FALSE)</f>
        <v>0</v>
      </c>
      <c r="M23" s="134">
        <f>VLOOKUP(M$1,'As Filed'!$A$8:$BV$35,'As Filed'!$R$7,FALSE)</f>
        <v>0</v>
      </c>
      <c r="N23" s="134">
        <f>VLOOKUP(N$1,'As Filed'!$A$8:$BV$35,'As Filed'!$R$7,FALSE)</f>
        <v>0</v>
      </c>
    </row>
    <row r="24" spans="1:14">
      <c r="A24" s="131"/>
      <c r="B24" s="143" t="s">
        <v>109</v>
      </c>
      <c r="C24" s="134">
        <f>VLOOKUP(C$1,'As Filed'!$A$8:$BV$35,'As Filed'!$T$7,FALSE)+VLOOKUP(C$1,'As Filed'!$A$8:$BV$35,'As Filed'!$U$7,FALSE)</f>
        <v>323.56</v>
      </c>
      <c r="D24" s="134">
        <f>VLOOKUP(D$1,'As Filed'!$A$8:$BV$35,'As Filed'!$T$7,FALSE)+VLOOKUP(D$1,'As Filed'!$A$8:$BV$35,'As Filed'!$U$7,FALSE)</f>
        <v>230565.47</v>
      </c>
      <c r="E24" s="134">
        <f>VLOOKUP(E$1,'As Filed'!$A$8:$BV$35,'As Filed'!$T$7,FALSE)+VLOOKUP(E$1,'As Filed'!$A$8:$BV$35,'As Filed'!$U$7,FALSE)</f>
        <v>850816.03999999992</v>
      </c>
      <c r="F24" s="134">
        <f>VLOOKUP(F$1,'As Filed'!$A$8:$BV$35,'As Filed'!$T$7,FALSE)+VLOOKUP(F$1,'As Filed'!$A$8:$BV$35,'As Filed'!$U$7,FALSE)</f>
        <v>326076.52</v>
      </c>
      <c r="G24" s="134">
        <f>VLOOKUP(G$1,'As Filed'!$A$8:$BV$35,'As Filed'!$T$7,FALSE)+VLOOKUP(G$1,'As Filed'!$A$8:$BV$35,'As Filed'!$U$7,FALSE)</f>
        <v>166228.28</v>
      </c>
      <c r="H24" s="134">
        <f>VLOOKUP(H$1,'As Filed'!$A$8:$BV$35,'As Filed'!$T$7,FALSE)+VLOOKUP(H$1,'As Filed'!$A$8:$BV$35,'As Filed'!$U$7,FALSE)</f>
        <v>0</v>
      </c>
      <c r="I24" s="134">
        <f>VLOOKUP(I$1,'As Filed'!$A$8:$BV$35,'As Filed'!$T$7,FALSE)+VLOOKUP(I$1,'As Filed'!$A$8:$BV$35,'As Filed'!$U$7,FALSE)</f>
        <v>55056.31</v>
      </c>
      <c r="J24" s="134">
        <f>VLOOKUP(J$1,'As Filed'!$A$8:$BV$35,'As Filed'!$T$7,FALSE)+VLOOKUP(J$1,'As Filed'!$A$8:$BV$35,'As Filed'!$U$7,FALSE)</f>
        <v>0</v>
      </c>
      <c r="K24" s="134">
        <f>VLOOKUP(K$1,'As Filed'!$A$8:$BV$35,'As Filed'!$T$7,FALSE)+VLOOKUP(K$1,'As Filed'!$A$8:$BV$35,'As Filed'!$U$7,FALSE)</f>
        <v>0</v>
      </c>
      <c r="L24" s="134">
        <f>VLOOKUP(L$1,'As Filed'!$A$8:$BV$35,'As Filed'!$T$7,FALSE)+VLOOKUP(L$1,'As Filed'!$A$8:$BV$35,'As Filed'!$U$7,FALSE)</f>
        <v>1278.1300000000001</v>
      </c>
      <c r="M24" s="134">
        <f>VLOOKUP(M$1,'As Filed'!$A$8:$BV$35,'As Filed'!$T$7,FALSE)+VLOOKUP(M$1,'As Filed'!$A$8:$BV$35,'As Filed'!$U$7,FALSE)</f>
        <v>1559.41</v>
      </c>
      <c r="N24" s="134">
        <f>VLOOKUP(N$1,'As Filed'!$A$8:$BV$35,'As Filed'!$T$7,FALSE)+VLOOKUP(N$1,'As Filed'!$A$8:$BV$35,'As Filed'!$U$7,FALSE)</f>
        <v>9084.39</v>
      </c>
    </row>
    <row r="25" spans="1:14" ht="15">
      <c r="A25" s="131"/>
      <c r="B25" s="143" t="s">
        <v>113</v>
      </c>
      <c r="C25" s="142">
        <f>VLOOKUP(C$1,'As Filed'!$A$8:$BV$35,'As Filed'!$V$7,FALSE)</f>
        <v>910534.89</v>
      </c>
      <c r="D25" s="142">
        <f>VLOOKUP(D$1,'As Filed'!$A$8:$BV$35,'As Filed'!$V$7,FALSE)</f>
        <v>2448554.4</v>
      </c>
      <c r="E25" s="142">
        <f>VLOOKUP(E$1,'As Filed'!$A$8:$BV$35,'As Filed'!$V$7,FALSE)</f>
        <v>2027919.25</v>
      </c>
      <c r="F25" s="142">
        <f>VLOOKUP(F$1,'As Filed'!$A$8:$BV$35,'As Filed'!$V$7,FALSE)</f>
        <v>2183841.7000000002</v>
      </c>
      <c r="G25" s="142">
        <f>VLOOKUP(G$1,'As Filed'!$A$8:$BV$35,'As Filed'!$V$7,FALSE)</f>
        <v>1298071.33</v>
      </c>
      <c r="H25" s="142">
        <f>VLOOKUP(H$1,'As Filed'!$A$8:$BV$35,'As Filed'!$V$7,FALSE)</f>
        <v>2323327.25</v>
      </c>
      <c r="I25" s="142">
        <f>VLOOKUP(I$1,'As Filed'!$A$8:$BV$35,'As Filed'!$V$7,FALSE)</f>
        <v>3963562.69</v>
      </c>
      <c r="J25" s="142">
        <f>VLOOKUP(J$1,'As Filed'!$A$8:$BV$35,'As Filed'!$V$7,FALSE)</f>
        <v>1863831.27</v>
      </c>
      <c r="K25" s="142">
        <f>VLOOKUP(K$1,'As Filed'!$A$8:$BV$35,'As Filed'!$V$7,FALSE)</f>
        <v>3179160.19</v>
      </c>
      <c r="L25" s="142">
        <f>VLOOKUP(L$1,'As Filed'!$A$8:$BV$35,'As Filed'!$V$7,FALSE)</f>
        <v>2491593.56</v>
      </c>
      <c r="M25" s="142">
        <f>VLOOKUP(M$1,'As Filed'!$A$8:$BV$35,'As Filed'!$V$7,FALSE)</f>
        <v>386945.35</v>
      </c>
      <c r="N25" s="142">
        <f>VLOOKUP(N$1,'As Filed'!$A$8:$BV$35,'As Filed'!$V$7,FALSE)</f>
        <v>521486.23</v>
      </c>
    </row>
    <row r="26" spans="1:14">
      <c r="A26" s="131"/>
      <c r="B26" s="132" t="s">
        <v>110</v>
      </c>
      <c r="C26" s="134">
        <f t="shared" ref="C26:E26" si="6">IF(C17+C22&gt;C16,SUM(C21,-C22,-C23,C24,C25),SUM(C21,-C23,C24,C25))</f>
        <v>2990891.22</v>
      </c>
      <c r="D26" s="134">
        <f t="shared" si="6"/>
        <v>4694276.2000000011</v>
      </c>
      <c r="E26" s="134">
        <f t="shared" si="6"/>
        <v>4927329.92</v>
      </c>
      <c r="F26" s="134">
        <f>IF(F17+F22&gt;F16,SUM(F21,-F22,-F23,F24,F25),SUM(F21,-F23,F24,F25))</f>
        <v>4670968.2899999991</v>
      </c>
      <c r="G26" s="134">
        <f t="shared" ref="G26:N26" si="7">IF(G17+G22&gt;G16,SUM(G21,-G22,-G23,G24,G25),SUM(G21,-G23,G24,G25))</f>
        <v>2947605.9700000007</v>
      </c>
      <c r="H26" s="134">
        <f t="shared" si="7"/>
        <v>3992616.9</v>
      </c>
      <c r="I26" s="134">
        <f t="shared" si="7"/>
        <v>5430124.5800000001</v>
      </c>
      <c r="J26" s="134">
        <f t="shared" si="7"/>
        <v>3187944.65</v>
      </c>
      <c r="K26" s="134">
        <f t="shared" si="7"/>
        <v>4831730.34</v>
      </c>
      <c r="L26" s="134">
        <f t="shared" si="7"/>
        <v>3868886.49</v>
      </c>
      <c r="M26" s="134">
        <f t="shared" si="7"/>
        <v>2063881.1599999997</v>
      </c>
      <c r="N26" s="134">
        <f t="shared" si="7"/>
        <v>2467720.0199999996</v>
      </c>
    </row>
    <row r="27" spans="1:14">
      <c r="A27" s="131"/>
      <c r="B27" s="132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</row>
    <row r="28" spans="1:14">
      <c r="A28" s="131" t="s">
        <v>111</v>
      </c>
      <c r="B28" s="132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</row>
    <row r="29" spans="1:14">
      <c r="A29" s="131"/>
      <c r="B29" s="132" t="s">
        <v>112</v>
      </c>
      <c r="C29" s="134">
        <f>VLOOKUP(C$1,'As Filed'!$A$8:$BV$35,'As Filed'!$Z$7,FALSE)-VLOOKUP(C$1,'As Filed'!$A$8:$BV$35,'As Filed'!$AA$7,FALSE)-VLOOKUP(C$1,'As Filed'!$A$8:$BV$35,'As Filed'!$AB$7,FALSE)-VLOOKUP(C$1,'As Filed'!$A$8:$BV$35,'As Filed'!$AC$7,FALSE)-VLOOKUP(C$1,'As Filed'!$A$8:$BV$35,'As Filed'!$AD$7,FALSE)</f>
        <v>1219105.7700000009</v>
      </c>
      <c r="D29" s="134">
        <f>VLOOKUP(D$1,'As Filed'!$A$8:$BV$35,'As Filed'!$Z$7,FALSE)-VLOOKUP(D$1,'As Filed'!$A$8:$BV$35,'As Filed'!$AA$7,FALSE)-VLOOKUP(D$1,'As Filed'!$A$8:$BV$35,'As Filed'!$AB$7,FALSE)-VLOOKUP(D$1,'As Filed'!$A$8:$BV$35,'As Filed'!$AC$7,FALSE)-VLOOKUP(D$1,'As Filed'!$A$8:$BV$35,'As Filed'!$AD$7,FALSE)</f>
        <v>3368640.09</v>
      </c>
      <c r="E29" s="134">
        <f>VLOOKUP(E$1,'As Filed'!$A$8:$BV$35,'As Filed'!$Z$7,FALSE)-VLOOKUP(E$1,'As Filed'!$A$8:$BV$35,'As Filed'!$AA$7,FALSE)-VLOOKUP(E$1,'As Filed'!$A$8:$BV$35,'As Filed'!$AB$7,FALSE)-VLOOKUP(E$1,'As Filed'!$A$8:$BV$35,'As Filed'!$AC$7,FALSE)-VLOOKUP(E$1,'As Filed'!$A$8:$BV$35,'As Filed'!$AD$7,FALSE)</f>
        <v>2564981.41</v>
      </c>
      <c r="F29" s="134">
        <f>VLOOKUP(F$1,'As Filed'!$A$8:$BV$35,'As Filed'!$Z$7,FALSE)-VLOOKUP(F$1,'As Filed'!$A$8:$BV$35,'As Filed'!$AA$7,FALSE)-VLOOKUP(F$1,'As Filed'!$A$8:$BV$35,'As Filed'!$AB$7,FALSE)-VLOOKUP(F$1,'As Filed'!$A$8:$BV$35,'As Filed'!$AC$7,FALSE)-VLOOKUP(F$1,'As Filed'!$A$8:$BV$35,'As Filed'!$AD$7,FALSE)</f>
        <v>2719965.03</v>
      </c>
      <c r="G29" s="134">
        <f>VLOOKUP(G$1,'As Filed'!$A$8:$BV$35,'As Filed'!$Z$7,FALSE)-VLOOKUP(G$1,'As Filed'!$A$8:$BV$35,'As Filed'!$AA$7,FALSE)-VLOOKUP(G$1,'As Filed'!$A$8:$BV$35,'As Filed'!$AB$7,FALSE)-VLOOKUP(G$1,'As Filed'!$A$8:$BV$35,'As Filed'!$AC$7,FALSE)-VLOOKUP(G$1,'As Filed'!$A$8:$BV$35,'As Filed'!$AD$7,FALSE)</f>
        <v>1482456.5699999998</v>
      </c>
      <c r="H29" s="134">
        <f>VLOOKUP(H$1,'As Filed'!$A$8:$BV$35,'As Filed'!$Z$7,FALSE)-VLOOKUP(H$1,'As Filed'!$A$8:$BV$35,'As Filed'!$AA$7,FALSE)-VLOOKUP(H$1,'As Filed'!$A$8:$BV$35,'As Filed'!$AB$7,FALSE)-VLOOKUP(H$1,'As Filed'!$A$8:$BV$35,'As Filed'!$AC$7,FALSE)-VLOOKUP(H$1,'As Filed'!$A$8:$BV$35,'As Filed'!$AD$7,FALSE)</f>
        <v>2754186.8700000006</v>
      </c>
      <c r="I29" s="134">
        <f>VLOOKUP(I$1,'As Filed'!$A$8:$BV$35,'As Filed'!$Z$7,FALSE)-VLOOKUP(I$1,'As Filed'!$A$8:$BV$35,'As Filed'!$AA$7,FALSE)-VLOOKUP(I$1,'As Filed'!$A$8:$BV$35,'As Filed'!$AB$7,FALSE)-VLOOKUP(I$1,'As Filed'!$A$8:$BV$35,'As Filed'!$AC$7,FALSE)-VLOOKUP(I$1,'As Filed'!$A$8:$BV$35,'As Filed'!$AD$7,FALSE)</f>
        <v>5002522.5500000017</v>
      </c>
      <c r="J29" s="134">
        <f>VLOOKUP(J$1,'As Filed'!$A$8:$BV$35,'As Filed'!$Z$7,FALSE)-VLOOKUP(J$1,'As Filed'!$A$8:$BV$35,'As Filed'!$AA$7,FALSE)-VLOOKUP(J$1,'As Filed'!$A$8:$BV$35,'As Filed'!$AB$7,FALSE)-VLOOKUP(J$1,'As Filed'!$A$8:$BV$35,'As Filed'!$AC$7,FALSE)-VLOOKUP(J$1,'As Filed'!$A$8:$BV$35,'As Filed'!$AD$7,FALSE)</f>
        <v>5048738.2899999991</v>
      </c>
      <c r="K29" s="134">
        <f>VLOOKUP(K$1,'As Filed'!$A$8:$BV$35,'As Filed'!$Z$7,FALSE)-VLOOKUP(K$1,'As Filed'!$A$8:$BV$35,'As Filed'!$AA$7,FALSE)-VLOOKUP(K$1,'As Filed'!$A$8:$BV$35,'As Filed'!$AB$7,FALSE)-VLOOKUP(K$1,'As Filed'!$A$8:$BV$35,'As Filed'!$AC$7,FALSE)-VLOOKUP(K$1,'As Filed'!$A$8:$BV$35,'As Filed'!$AD$7,FALSE)</f>
        <v>4053917.3200000017</v>
      </c>
      <c r="L29" s="134">
        <f>VLOOKUP(L$1,'As Filed'!$A$8:$BV$35,'As Filed'!$Z$7,FALSE)-VLOOKUP(L$1,'As Filed'!$A$8:$BV$35,'As Filed'!$AA$7,FALSE)-VLOOKUP(L$1,'As Filed'!$A$8:$BV$35,'As Filed'!$AB$7,FALSE)-VLOOKUP(L$1,'As Filed'!$A$8:$BV$35,'As Filed'!$AC$7,FALSE)-VLOOKUP(L$1,'As Filed'!$A$8:$BV$35,'As Filed'!$AD$7,FALSE)</f>
        <v>2538169.2599999998</v>
      </c>
      <c r="M29" s="134">
        <f>VLOOKUP(M$1,'As Filed'!$A$8:$BV$35,'As Filed'!$Z$7,FALSE)-VLOOKUP(M$1,'As Filed'!$A$8:$BV$35,'As Filed'!$AA$7,FALSE)-VLOOKUP(M$1,'As Filed'!$A$8:$BV$35,'As Filed'!$AB$7,FALSE)-VLOOKUP(M$1,'As Filed'!$A$8:$BV$35,'As Filed'!$AC$7,FALSE)-VLOOKUP(M$1,'As Filed'!$A$8:$BV$35,'As Filed'!$AD$7,FALSE)</f>
        <v>403496.27999999985</v>
      </c>
      <c r="N29" s="134">
        <f>VLOOKUP(N$1,'As Filed'!$A$8:$BV$35,'As Filed'!$Z$7,FALSE)-VLOOKUP(N$1,'As Filed'!$A$8:$BV$35,'As Filed'!$AA$7,FALSE)-VLOOKUP(N$1,'As Filed'!$A$8:$BV$35,'As Filed'!$AB$7,FALSE)-VLOOKUP(N$1,'As Filed'!$A$8:$BV$35,'As Filed'!$AC$7,FALSE)-VLOOKUP(N$1,'As Filed'!$A$8:$BV$35,'As Filed'!$AD$7,FALSE)</f>
        <v>564968.60999999929</v>
      </c>
    </row>
    <row r="30" spans="1:14">
      <c r="A30" s="131"/>
      <c r="B30" s="143" t="s">
        <v>109</v>
      </c>
      <c r="C30" s="134">
        <f>VLOOKUP(C$1,'As Filed'!$A$8:$BV$35,'As Filed'!$AA$7,FALSE)+VLOOKUP(C$1,'As Filed'!$A$8:$BV$35,'As Filed'!$AB$7,FALSE)</f>
        <v>8118393</v>
      </c>
      <c r="D30" s="134">
        <f>VLOOKUP(D$1,'As Filed'!$A$8:$BV$35,'As Filed'!$AA$7,FALSE)+VLOOKUP(D$1,'As Filed'!$A$8:$BV$35,'As Filed'!$AB$7,FALSE)</f>
        <v>4953043.5199999996</v>
      </c>
      <c r="E30" s="134">
        <f>VLOOKUP(E$1,'As Filed'!$A$8:$BV$35,'As Filed'!$AA$7,FALSE)+VLOOKUP(E$1,'As Filed'!$A$8:$BV$35,'As Filed'!$AB$7,FALSE)</f>
        <v>3009742.2</v>
      </c>
      <c r="F30" s="134">
        <f>VLOOKUP(F$1,'As Filed'!$A$8:$BV$35,'As Filed'!$AA$7,FALSE)+VLOOKUP(F$1,'As Filed'!$A$8:$BV$35,'As Filed'!$AB$7,FALSE)</f>
        <v>4056642.5900000003</v>
      </c>
      <c r="G30" s="134">
        <f>VLOOKUP(G$1,'As Filed'!$A$8:$BV$35,'As Filed'!$AA$7,FALSE)+VLOOKUP(G$1,'As Filed'!$A$8:$BV$35,'As Filed'!$AB$7,FALSE)</f>
        <v>5039517.84</v>
      </c>
      <c r="H30" s="134">
        <f>VLOOKUP(H$1,'As Filed'!$A$8:$BV$35,'As Filed'!$AA$7,FALSE)+VLOOKUP(H$1,'As Filed'!$A$8:$BV$35,'As Filed'!$AB$7,FALSE)</f>
        <v>8278922.96</v>
      </c>
      <c r="I30" s="134">
        <f>VLOOKUP(I$1,'As Filed'!$A$8:$BV$35,'As Filed'!$AA$7,FALSE)+VLOOKUP(I$1,'As Filed'!$A$8:$BV$35,'As Filed'!$AB$7,FALSE)</f>
        <v>6625524.1599999992</v>
      </c>
      <c r="J30" s="134">
        <f>VLOOKUP(J$1,'As Filed'!$A$8:$BV$35,'As Filed'!$AA$7,FALSE)+VLOOKUP(J$1,'As Filed'!$A$8:$BV$35,'As Filed'!$AB$7,FALSE)</f>
        <v>5409752.5800000001</v>
      </c>
      <c r="K30" s="134">
        <f>VLOOKUP(K$1,'As Filed'!$A$8:$BV$35,'As Filed'!$AA$7,FALSE)+VLOOKUP(K$1,'As Filed'!$A$8:$BV$35,'As Filed'!$AB$7,FALSE)</f>
        <v>9545512.7299999986</v>
      </c>
      <c r="L30" s="134">
        <f>VLOOKUP(L$1,'As Filed'!$A$8:$BV$35,'As Filed'!$AA$7,FALSE)+VLOOKUP(L$1,'As Filed'!$A$8:$BV$35,'As Filed'!$AB$7,FALSE)</f>
        <v>9670814.4299999997</v>
      </c>
      <c r="M30" s="134">
        <f>VLOOKUP(M$1,'As Filed'!$A$8:$BV$35,'As Filed'!$AA$7,FALSE)+VLOOKUP(M$1,'As Filed'!$A$8:$BV$35,'As Filed'!$AB$7,FALSE)</f>
        <v>6444956.79</v>
      </c>
      <c r="N30" s="134">
        <f>VLOOKUP(N$1,'As Filed'!$A$8:$BV$35,'As Filed'!$AA$7,FALSE)+VLOOKUP(N$1,'As Filed'!$A$8:$BV$35,'As Filed'!$AB$7,FALSE)</f>
        <v>7405050.1500000004</v>
      </c>
    </row>
    <row r="31" spans="1:14">
      <c r="A31" s="131"/>
      <c r="B31" s="143" t="s">
        <v>113</v>
      </c>
      <c r="C31" s="134">
        <f>VLOOKUP(C$1,'As Filed'!$A$8:$BV$35,'As Filed'!$AC$7,FALSE)+VLOOKUP(C$1,'As Filed'!$A$8:$BV$35,'As Filed'!$AD$7,FALSE)</f>
        <v>40.86</v>
      </c>
      <c r="D31" s="134">
        <f>VLOOKUP(D$1,'As Filed'!$A$8:$BV$35,'As Filed'!$AC$7,FALSE)+VLOOKUP(D$1,'As Filed'!$A$8:$BV$35,'As Filed'!$AD$7,FALSE)</f>
        <v>27813.82</v>
      </c>
      <c r="E31" s="134">
        <f>VLOOKUP(E$1,'As Filed'!$A$8:$BV$35,'As Filed'!$AC$7,FALSE)+VLOOKUP(E$1,'As Filed'!$A$8:$BV$35,'As Filed'!$AD$7,FALSE)</f>
        <v>45629.96</v>
      </c>
      <c r="F31" s="134">
        <f>VLOOKUP(F$1,'As Filed'!$A$8:$BV$35,'As Filed'!$AC$7,FALSE)+VLOOKUP(F$1,'As Filed'!$A$8:$BV$35,'As Filed'!$AD$7,FALSE)</f>
        <v>33493.449999999997</v>
      </c>
      <c r="G31" s="134">
        <f>VLOOKUP(G$1,'As Filed'!$A$8:$BV$35,'As Filed'!$AC$7,FALSE)+VLOOKUP(G$1,'As Filed'!$A$8:$BV$35,'As Filed'!$AD$7,FALSE)</f>
        <v>7254.9</v>
      </c>
      <c r="H31" s="134">
        <f>VLOOKUP(H$1,'As Filed'!$A$8:$BV$35,'As Filed'!$AC$7,FALSE)+VLOOKUP(H$1,'As Filed'!$A$8:$BV$35,'As Filed'!$AD$7,FALSE)</f>
        <v>0</v>
      </c>
      <c r="I31" s="134">
        <f>VLOOKUP(I$1,'As Filed'!$A$8:$BV$35,'As Filed'!$AC$7,FALSE)+VLOOKUP(I$1,'As Filed'!$A$8:$BV$35,'As Filed'!$AD$7,FALSE)</f>
        <v>768.59</v>
      </c>
      <c r="J31" s="134">
        <f>VLOOKUP(J$1,'As Filed'!$A$8:$BV$35,'As Filed'!$AC$7,FALSE)+VLOOKUP(J$1,'As Filed'!$A$8:$BV$35,'As Filed'!$AD$7,FALSE)</f>
        <v>0</v>
      </c>
      <c r="K31" s="134">
        <f>VLOOKUP(K$1,'As Filed'!$A$8:$BV$35,'As Filed'!$AC$7,FALSE)+VLOOKUP(K$1,'As Filed'!$A$8:$BV$35,'As Filed'!$AD$7,FALSE)</f>
        <v>0</v>
      </c>
      <c r="L31" s="134">
        <f>VLOOKUP(L$1,'As Filed'!$A$8:$BV$35,'As Filed'!$AC$7,FALSE)+VLOOKUP(L$1,'As Filed'!$A$8:$BV$35,'As Filed'!$AD$7,FALSE)</f>
        <v>0</v>
      </c>
      <c r="M31" s="134">
        <f>VLOOKUP(M$1,'As Filed'!$A$8:$BV$35,'As Filed'!$AC$7,FALSE)+VLOOKUP(M$1,'As Filed'!$A$8:$BV$35,'As Filed'!$AD$7,FALSE)</f>
        <v>0</v>
      </c>
      <c r="N31" s="134">
        <f>VLOOKUP(N$1,'As Filed'!$A$8:$BV$35,'As Filed'!$AC$7,FALSE)+VLOOKUP(N$1,'As Filed'!$A$8:$BV$35,'As Filed'!$AD$7,FALSE)</f>
        <v>0</v>
      </c>
    </row>
    <row r="32" spans="1:14" ht="15">
      <c r="A32" s="131"/>
      <c r="B32" s="132" t="s">
        <v>114</v>
      </c>
      <c r="C32" s="142">
        <f>ROUND(C29*0.01,0)</f>
        <v>12191</v>
      </c>
      <c r="D32" s="142">
        <f t="shared" ref="D32:N32" si="8">ROUND(D29*0.01,0)</f>
        <v>33686</v>
      </c>
      <c r="E32" s="142">
        <f t="shared" si="8"/>
        <v>25650</v>
      </c>
      <c r="F32" s="142">
        <f t="shared" si="8"/>
        <v>27200</v>
      </c>
      <c r="G32" s="142">
        <f t="shared" si="8"/>
        <v>14825</v>
      </c>
      <c r="H32" s="142">
        <f t="shared" si="8"/>
        <v>27542</v>
      </c>
      <c r="I32" s="142">
        <f t="shared" si="8"/>
        <v>50025</v>
      </c>
      <c r="J32" s="142">
        <f t="shared" si="8"/>
        <v>50487</v>
      </c>
      <c r="K32" s="142">
        <f t="shared" si="8"/>
        <v>40539</v>
      </c>
      <c r="L32" s="142">
        <f t="shared" si="8"/>
        <v>25382</v>
      </c>
      <c r="M32" s="142">
        <f t="shared" si="8"/>
        <v>4035</v>
      </c>
      <c r="N32" s="142">
        <f t="shared" si="8"/>
        <v>5650</v>
      </c>
    </row>
    <row r="33" spans="1:14">
      <c r="A33" s="131"/>
      <c r="B33" s="132" t="s">
        <v>110</v>
      </c>
      <c r="C33" s="134">
        <f t="shared" ref="C33:D33" si="9">SUM(C29:C32)</f>
        <v>9349730.6300000008</v>
      </c>
      <c r="D33" s="134">
        <f t="shared" si="9"/>
        <v>8383183.4299999997</v>
      </c>
      <c r="E33" s="134">
        <f t="shared" ref="E33:N33" si="10">SUM(E29:E32)</f>
        <v>5646003.5700000003</v>
      </c>
      <c r="F33" s="134">
        <f t="shared" si="10"/>
        <v>6837301.0700000003</v>
      </c>
      <c r="G33" s="134">
        <f t="shared" si="10"/>
        <v>6544054.3100000005</v>
      </c>
      <c r="H33" s="134">
        <f t="shared" si="10"/>
        <v>11060651.83</v>
      </c>
      <c r="I33" s="134">
        <f t="shared" si="10"/>
        <v>11678840.300000001</v>
      </c>
      <c r="J33" s="134">
        <f t="shared" si="10"/>
        <v>10508977.869999999</v>
      </c>
      <c r="K33" s="134">
        <f t="shared" si="10"/>
        <v>13639969.050000001</v>
      </c>
      <c r="L33" s="134">
        <f t="shared" si="10"/>
        <v>12234365.689999999</v>
      </c>
      <c r="M33" s="134">
        <f t="shared" si="10"/>
        <v>6852488.0700000003</v>
      </c>
      <c r="N33" s="134">
        <f t="shared" si="10"/>
        <v>7975668.7599999998</v>
      </c>
    </row>
    <row r="34" spans="1:14">
      <c r="A34" s="131"/>
      <c r="B34" s="132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</row>
    <row r="35" spans="1:14">
      <c r="A35" s="144" t="s">
        <v>115</v>
      </c>
      <c r="B35" s="132"/>
      <c r="C35" s="145">
        <f t="shared" ref="C35:N35" si="11">C$67</f>
        <v>-79125</v>
      </c>
      <c r="D35" s="145">
        <f t="shared" si="11"/>
        <v>-90197</v>
      </c>
      <c r="E35" s="145">
        <f t="shared" si="11"/>
        <v>1213718</v>
      </c>
      <c r="F35" s="145">
        <f t="shared" si="11"/>
        <v>808116</v>
      </c>
      <c r="G35" s="145">
        <f t="shared" si="11"/>
        <v>724748</v>
      </c>
      <c r="H35" s="145">
        <f t="shared" si="11"/>
        <v>-552716</v>
      </c>
      <c r="I35" s="145">
        <f t="shared" si="11"/>
        <v>-773666</v>
      </c>
      <c r="J35" s="145">
        <f t="shared" si="11"/>
        <v>-401623</v>
      </c>
      <c r="K35" s="145">
        <f t="shared" si="11"/>
        <v>106400</v>
      </c>
      <c r="L35" s="145">
        <f t="shared" si="11"/>
        <v>592369</v>
      </c>
      <c r="M35" s="145">
        <f t="shared" si="11"/>
        <v>-187821</v>
      </c>
      <c r="N35" s="145">
        <f t="shared" si="11"/>
        <v>-280501</v>
      </c>
    </row>
    <row r="36" spans="1:14">
      <c r="A36" s="131" t="s">
        <v>116</v>
      </c>
      <c r="B36" s="132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</row>
    <row r="37" spans="1:14">
      <c r="A37" s="131"/>
      <c r="B37" s="132" t="s">
        <v>117</v>
      </c>
      <c r="C37" s="133">
        <f t="shared" ref="C37:N37" si="12">C18+C26-C33-C35</f>
        <v>19706363.919999994</v>
      </c>
      <c r="D37" s="133">
        <f t="shared" si="12"/>
        <v>23725652.039999999</v>
      </c>
      <c r="E37" s="133">
        <f t="shared" si="12"/>
        <v>27129912.640000001</v>
      </c>
      <c r="F37" s="133">
        <f t="shared" si="12"/>
        <v>33139905.579999998</v>
      </c>
      <c r="G37" s="133">
        <f t="shared" si="12"/>
        <v>29973647.129999995</v>
      </c>
      <c r="H37" s="133">
        <f t="shared" si="12"/>
        <v>22802645.759999998</v>
      </c>
      <c r="I37" s="133">
        <f t="shared" si="12"/>
        <v>20584107.949999999</v>
      </c>
      <c r="J37" s="133">
        <f t="shared" si="12"/>
        <v>20565756.369999997</v>
      </c>
      <c r="K37" s="133">
        <f t="shared" si="12"/>
        <v>22944915.999999996</v>
      </c>
      <c r="L37" s="133">
        <f t="shared" si="12"/>
        <v>24299777.110000007</v>
      </c>
      <c r="M37" s="133">
        <f t="shared" si="12"/>
        <v>22786529.27</v>
      </c>
      <c r="N37" s="133">
        <f t="shared" si="12"/>
        <v>23919811.009999998</v>
      </c>
    </row>
    <row r="38" spans="1:14">
      <c r="A38" s="138"/>
      <c r="B38" s="139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</row>
    <row r="39" spans="1:14">
      <c r="A39" s="128" t="s">
        <v>118</v>
      </c>
      <c r="B39" s="129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</row>
    <row r="40" spans="1:14">
      <c r="A40" s="131"/>
      <c r="B40" s="132" t="s">
        <v>119</v>
      </c>
      <c r="C40" s="134">
        <f>VLOOKUP(C$1,'As Filed'!$A$8:$BV$35,'As Filed'!$AG$7,FALSE)-VLOOKUP(C$1,'As Filed'!$A$8:$BV$35,'As Filed'!$AI$7,FALSE)-VLOOKUP(C$1,'As Filed'!$A$8:$BV$35,'As Filed'!$AJ$7,FALSE)</f>
        <v>1140289000</v>
      </c>
      <c r="D40" s="134">
        <f>VLOOKUP(D$1,'As Filed'!$A$8:$BV$35,'As Filed'!$AG$7,FALSE)-VLOOKUP(D$1,'As Filed'!$A$8:$BV$35,'As Filed'!$AI$7,FALSE)-VLOOKUP(D$1,'As Filed'!$A$8:$BV$35,'As Filed'!$AJ$7,FALSE)</f>
        <v>1183486000</v>
      </c>
      <c r="E40" s="134">
        <f>VLOOKUP(E$1,'As Filed'!$A$8:$BV$35,'As Filed'!$AG$7,FALSE)-VLOOKUP(E$1,'As Filed'!$A$8:$BV$35,'As Filed'!$AI$7,FALSE)-VLOOKUP(E$1,'As Filed'!$A$8:$BV$35,'As Filed'!$AJ$7,FALSE)</f>
        <v>1255362000</v>
      </c>
      <c r="F40" s="134">
        <f>VLOOKUP(F$1,'As Filed'!$A$8:$BV$35,'As Filed'!$AG$7,FALSE)-VLOOKUP(F$1,'As Filed'!$A$8:$BV$35,'As Filed'!$AI$7,FALSE)-VLOOKUP(F$1,'As Filed'!$A$8:$BV$35,'As Filed'!$AJ$7,FALSE)</f>
        <v>1537049000</v>
      </c>
      <c r="G40" s="134">
        <f>VLOOKUP(G$1,'As Filed'!$A$8:$BV$35,'As Filed'!$AG$7,FALSE)-VLOOKUP(G$1,'As Filed'!$A$8:$BV$35,'As Filed'!$AI$7,FALSE)-VLOOKUP(G$1,'As Filed'!$A$8:$BV$35,'As Filed'!$AJ$7,FALSE)</f>
        <v>1462945000</v>
      </c>
      <c r="H40" s="134">
        <f>VLOOKUP(H$1,'As Filed'!$A$8:$BV$35,'As Filed'!$AG$7,FALSE)-VLOOKUP(H$1,'As Filed'!$A$8:$BV$35,'As Filed'!$AI$7,FALSE)-VLOOKUP(H$1,'As Filed'!$A$8:$BV$35,'As Filed'!$AJ$7,FALSE)</f>
        <v>1297346000</v>
      </c>
      <c r="I40" s="134">
        <f>VLOOKUP(I$1,'As Filed'!$A$8:$BV$35,'As Filed'!$AG$7,FALSE)-VLOOKUP(I$1,'As Filed'!$A$8:$BV$35,'As Filed'!$AI$7,FALSE)-VLOOKUP(I$1,'As Filed'!$A$8:$BV$35,'As Filed'!$AJ$7,FALSE)</f>
        <v>1195249000</v>
      </c>
      <c r="J40" s="134">
        <f>VLOOKUP(J$1,'As Filed'!$A$8:$BV$35,'As Filed'!$AG$7,FALSE)-VLOOKUP(J$1,'As Filed'!$A$8:$BV$35,'As Filed'!$AI$7,FALSE)-VLOOKUP(J$1,'As Filed'!$A$8:$BV$35,'As Filed'!$AJ$7,FALSE)</f>
        <v>1200660000</v>
      </c>
      <c r="K40" s="134">
        <f>VLOOKUP(K$1,'As Filed'!$A$8:$BV$35,'As Filed'!$AG$7,FALSE)-VLOOKUP(K$1,'As Filed'!$A$8:$BV$35,'As Filed'!$AI$7,FALSE)-VLOOKUP(K$1,'As Filed'!$A$8:$BV$35,'As Filed'!$AJ$7,FALSE)</f>
        <v>1371438000</v>
      </c>
      <c r="L40" s="134">
        <f>VLOOKUP(L$1,'As Filed'!$A$8:$BV$35,'As Filed'!$AG$7,FALSE)-VLOOKUP(L$1,'As Filed'!$A$8:$BV$35,'As Filed'!$AI$7,FALSE)-VLOOKUP(L$1,'As Filed'!$A$8:$BV$35,'As Filed'!$AJ$7,FALSE)</f>
        <v>1385912000</v>
      </c>
      <c r="M40" s="134">
        <f>VLOOKUP(M$1,'As Filed'!$A$8:$BV$35,'As Filed'!$AG$7,FALSE)-VLOOKUP(M$1,'As Filed'!$A$8:$BV$35,'As Filed'!$AI$7,FALSE)-VLOOKUP(M$1,'As Filed'!$A$8:$BV$35,'As Filed'!$AJ$7,FALSE)</f>
        <v>1131339000</v>
      </c>
      <c r="N40" s="134">
        <f>VLOOKUP(N$1,'As Filed'!$A$8:$BV$35,'As Filed'!$AG$7,FALSE)-VLOOKUP(N$1,'As Filed'!$A$8:$BV$35,'As Filed'!$AI$7,FALSE)-VLOOKUP(N$1,'As Filed'!$A$8:$BV$35,'As Filed'!$AJ$7,FALSE)</f>
        <v>1167952000</v>
      </c>
    </row>
    <row r="41" spans="1:14">
      <c r="A41" s="131"/>
      <c r="B41" s="132" t="s">
        <v>120</v>
      </c>
      <c r="C41" s="134">
        <f>VLOOKUP(C$1,'As Filed'!$A$8:$BV$35,'As Filed'!$AK$7,FALSE)-VLOOKUP(C$1,'As Filed'!$A$8:$BV$35,'As Filed'!$AL$7,FALSE)-VLOOKUP(C$1,'As Filed'!$A$8:$BV$35,'As Filed'!$AO$7,FALSE)-VLOOKUP(C$1,'As Filed'!$A$8:$BV$35,'As Filed'!$AP$7,FALSE)+VLOOKUP(C$1,'As Filed'!$A$8:$BV$35,'As Filed'!$BO$7,FALSE)</f>
        <v>79071549</v>
      </c>
      <c r="D41" s="134">
        <f>VLOOKUP(D$1,'As Filed'!$A$8:$BV$35,'As Filed'!$AK$7,FALSE)-VLOOKUP(D$1,'As Filed'!$A$8:$BV$35,'As Filed'!$AL$7,FALSE)-VLOOKUP(D$1,'As Filed'!$A$8:$BV$35,'As Filed'!$AO$7,FALSE)-VLOOKUP(D$1,'As Filed'!$A$8:$BV$35,'As Filed'!$AP$7,FALSE)+VLOOKUP(D$1,'As Filed'!$A$8:$BV$35,'As Filed'!$BO$7,FALSE)</f>
        <v>72660076</v>
      </c>
      <c r="E41" s="134">
        <f>VLOOKUP(E$1,'As Filed'!$A$8:$BV$35,'As Filed'!$AK$7,FALSE)-VLOOKUP(E$1,'As Filed'!$A$8:$BV$35,'As Filed'!$AL$7,FALSE)-VLOOKUP(E$1,'As Filed'!$A$8:$BV$35,'As Filed'!$AO$7,FALSE)-VLOOKUP(E$1,'As Filed'!$A$8:$BV$35,'As Filed'!$AP$7,FALSE)+VLOOKUP(E$1,'As Filed'!$A$8:$BV$35,'As Filed'!$BO$7,FALSE)</f>
        <v>76774368</v>
      </c>
      <c r="F41" s="134">
        <f>VLOOKUP(F$1,'As Filed'!$A$8:$BV$35,'As Filed'!$AK$7,FALSE)-VLOOKUP(F$1,'As Filed'!$A$8:$BV$35,'As Filed'!$AL$7,FALSE)-VLOOKUP(F$1,'As Filed'!$A$8:$BV$35,'As Filed'!$AO$7,FALSE)-VLOOKUP(F$1,'As Filed'!$A$8:$BV$35,'As Filed'!$AP$7,FALSE)+VLOOKUP(F$1,'As Filed'!$A$8:$BV$35,'As Filed'!$BO$7,FALSE)</f>
        <v>85940756</v>
      </c>
      <c r="G41" s="134">
        <f>VLOOKUP(G$1,'As Filed'!$A$8:$BV$35,'As Filed'!$AK$7,FALSE)-VLOOKUP(G$1,'As Filed'!$A$8:$BV$35,'As Filed'!$AL$7,FALSE)-VLOOKUP(G$1,'As Filed'!$A$8:$BV$35,'As Filed'!$AO$7,FALSE)-VLOOKUP(G$1,'As Filed'!$A$8:$BV$35,'As Filed'!$AP$7,FALSE)+VLOOKUP(G$1,'As Filed'!$A$8:$BV$35,'As Filed'!$BO$7,FALSE)</f>
        <v>75318903</v>
      </c>
      <c r="H41" s="134">
        <f>VLOOKUP(H$1,'As Filed'!$A$8:$BV$35,'As Filed'!$AK$7,FALSE)-VLOOKUP(H$1,'As Filed'!$A$8:$BV$35,'As Filed'!$AL$7,FALSE)-VLOOKUP(H$1,'As Filed'!$A$8:$BV$35,'As Filed'!$AO$7,FALSE)-VLOOKUP(H$1,'As Filed'!$A$8:$BV$35,'As Filed'!$AP$7,FALSE)+VLOOKUP(H$1,'As Filed'!$A$8:$BV$35,'As Filed'!$BO$7,FALSE)</f>
        <v>54273308</v>
      </c>
      <c r="I41" s="134">
        <f>VLOOKUP(I$1,'As Filed'!$A$8:$BV$35,'As Filed'!$AK$7,FALSE)-VLOOKUP(I$1,'As Filed'!$A$8:$BV$35,'As Filed'!$AL$7,FALSE)-VLOOKUP(I$1,'As Filed'!$A$8:$BV$35,'As Filed'!$AO$7,FALSE)-VLOOKUP(I$1,'As Filed'!$A$8:$BV$35,'As Filed'!$AP$7,FALSE)+VLOOKUP(I$1,'As Filed'!$A$8:$BV$35,'As Filed'!$BO$7,FALSE)</f>
        <v>14594000</v>
      </c>
      <c r="J41" s="134">
        <f>VLOOKUP(J$1,'As Filed'!$A$8:$BV$35,'As Filed'!$AK$7,FALSE)-VLOOKUP(J$1,'As Filed'!$A$8:$BV$35,'As Filed'!$AL$7,FALSE)-VLOOKUP(J$1,'As Filed'!$A$8:$BV$35,'As Filed'!$AO$7,FALSE)-VLOOKUP(J$1,'As Filed'!$A$8:$BV$35,'As Filed'!$AP$7,FALSE)+VLOOKUP(J$1,'As Filed'!$A$8:$BV$35,'As Filed'!$BO$7,FALSE)</f>
        <v>22280000</v>
      </c>
      <c r="K41" s="134">
        <f>VLOOKUP(K$1,'As Filed'!$A$8:$BV$35,'As Filed'!$AK$7,FALSE)-VLOOKUP(K$1,'As Filed'!$A$8:$BV$35,'As Filed'!$AL$7,FALSE)-VLOOKUP(K$1,'As Filed'!$A$8:$BV$35,'As Filed'!$AO$7,FALSE)-VLOOKUP(K$1,'As Filed'!$A$8:$BV$35,'As Filed'!$AP$7,FALSE)+VLOOKUP(K$1,'As Filed'!$A$8:$BV$35,'As Filed'!$BO$7,FALSE)</f>
        <v>34587000</v>
      </c>
      <c r="L41" s="134">
        <f>VLOOKUP(L$1,'As Filed'!$A$8:$BV$35,'As Filed'!$AK$7,FALSE)-VLOOKUP(L$1,'As Filed'!$A$8:$BV$35,'As Filed'!$AL$7,FALSE)-VLOOKUP(L$1,'As Filed'!$A$8:$BV$35,'As Filed'!$AO$7,FALSE)-VLOOKUP(L$1,'As Filed'!$A$8:$BV$35,'As Filed'!$AP$7,FALSE)+VLOOKUP(L$1,'As Filed'!$A$8:$BV$35,'As Filed'!$BO$7,FALSE)</f>
        <v>23414000</v>
      </c>
      <c r="M41" s="134">
        <f>VLOOKUP(M$1,'As Filed'!$A$8:$BV$35,'As Filed'!$AK$7,FALSE)-VLOOKUP(M$1,'As Filed'!$A$8:$BV$35,'As Filed'!$AL$7,FALSE)-VLOOKUP(M$1,'As Filed'!$A$8:$BV$35,'As Filed'!$AO$7,FALSE)-VLOOKUP(M$1,'As Filed'!$A$8:$BV$35,'As Filed'!$AP$7,FALSE)+VLOOKUP(M$1,'As Filed'!$A$8:$BV$35,'As Filed'!$BO$7,FALSE)</f>
        <v>31693000</v>
      </c>
      <c r="N41" s="134">
        <f>VLOOKUP(N$1,'As Filed'!$A$8:$BV$35,'As Filed'!$AK$7,FALSE)-VLOOKUP(N$1,'As Filed'!$A$8:$BV$35,'As Filed'!$AL$7,FALSE)-VLOOKUP(N$1,'As Filed'!$A$8:$BV$35,'As Filed'!$AO$7,FALSE)-VLOOKUP(N$1,'As Filed'!$A$8:$BV$35,'As Filed'!$AP$7,FALSE)+VLOOKUP(N$1,'As Filed'!$A$8:$BV$35,'As Filed'!$BO$7,FALSE)</f>
        <v>51154000</v>
      </c>
    </row>
    <row r="42" spans="1:14">
      <c r="A42" s="131"/>
      <c r="B42" s="143" t="s">
        <v>109</v>
      </c>
      <c r="C42" s="146">
        <f>VLOOKUP(C$1,'As Filed'!$A$8:$BV$35,'As Filed'!$AO$7,FALSE)</f>
        <v>8000</v>
      </c>
      <c r="D42" s="146">
        <f>VLOOKUP(D$1,'As Filed'!$A$8:$BV$35,'As Filed'!$AO$7,FALSE)</f>
        <v>8230000</v>
      </c>
      <c r="E42" s="146">
        <f>VLOOKUP(E$1,'As Filed'!$A$8:$BV$35,'As Filed'!$AO$7,FALSE)</f>
        <v>21663000</v>
      </c>
      <c r="F42" s="146">
        <f>VLOOKUP(F$1,'As Filed'!$A$8:$BV$35,'As Filed'!$AO$7,FALSE)</f>
        <v>8108000</v>
      </c>
      <c r="G42" s="146">
        <f>VLOOKUP(G$1,'As Filed'!$A$8:$BV$35,'As Filed'!$AO$7,FALSE)</f>
        <v>3723000</v>
      </c>
      <c r="H42" s="146">
        <f>VLOOKUP(H$1,'As Filed'!$A$8:$BV$35,'As Filed'!$AO$7,FALSE)</f>
        <v>0</v>
      </c>
      <c r="I42" s="146">
        <f>VLOOKUP(I$1,'As Filed'!$A$8:$BV$35,'As Filed'!$AO$7,FALSE)</f>
        <v>2102000</v>
      </c>
      <c r="J42" s="146">
        <f>VLOOKUP(J$1,'As Filed'!$A$8:$BV$35,'As Filed'!$AO$7,FALSE)</f>
        <v>0</v>
      </c>
      <c r="K42" s="146">
        <f>VLOOKUP(K$1,'As Filed'!$A$8:$BV$35,'As Filed'!$AO$7,FALSE)</f>
        <v>0</v>
      </c>
      <c r="L42" s="146">
        <f>VLOOKUP(L$1,'As Filed'!$A$8:$BV$35,'As Filed'!$AO$7,FALSE)</f>
        <v>44000</v>
      </c>
      <c r="M42" s="146">
        <f>VLOOKUP(M$1,'As Filed'!$A$8:$BV$35,'As Filed'!$AO$7,FALSE)</f>
        <v>56000</v>
      </c>
      <c r="N42" s="146">
        <f>VLOOKUP(N$1,'As Filed'!$A$8:$BV$35,'As Filed'!$AO$7,FALSE)</f>
        <v>267000</v>
      </c>
    </row>
    <row r="43" spans="1:14" ht="15">
      <c r="A43" s="131"/>
      <c r="B43" s="143" t="s">
        <v>113</v>
      </c>
      <c r="C43" s="147">
        <f>VLOOKUP(C$1,'As Filed'!$A$8:$BV$35,'As Filed'!$AP$7,FALSE)</f>
        <v>32734000</v>
      </c>
      <c r="D43" s="147">
        <f>VLOOKUP(D$1,'As Filed'!$A$8:$BV$35,'As Filed'!$AP$7,FALSE)</f>
        <v>86379000</v>
      </c>
      <c r="E43" s="147">
        <f>VLOOKUP(E$1,'As Filed'!$A$8:$BV$35,'As Filed'!$AP$7,FALSE)</f>
        <v>75035000</v>
      </c>
      <c r="F43" s="147">
        <f>VLOOKUP(F$1,'As Filed'!$A$8:$BV$35,'As Filed'!$AP$7,FALSE)</f>
        <v>76982000</v>
      </c>
      <c r="G43" s="147">
        <f>VLOOKUP(G$1,'As Filed'!$A$8:$BV$35,'As Filed'!$AP$7,FALSE)</f>
        <v>43067000</v>
      </c>
      <c r="H43" s="147">
        <f>VLOOKUP(H$1,'As Filed'!$A$8:$BV$35,'As Filed'!$AP$7,FALSE)</f>
        <v>90092000</v>
      </c>
      <c r="I43" s="147">
        <f>VLOOKUP(I$1,'As Filed'!$A$8:$BV$35,'As Filed'!$AP$7,FALSE)</f>
        <v>158275000</v>
      </c>
      <c r="J43" s="147">
        <f>VLOOKUP(J$1,'As Filed'!$A$8:$BV$35,'As Filed'!$AP$7,FALSE)</f>
        <v>71349000</v>
      </c>
      <c r="K43" s="147">
        <f>VLOOKUP(K$1,'As Filed'!$A$8:$BV$35,'As Filed'!$AP$7,FALSE)</f>
        <v>120983000</v>
      </c>
      <c r="L43" s="147">
        <f>VLOOKUP(L$1,'As Filed'!$A$8:$BV$35,'As Filed'!$AP$7,FALSE)</f>
        <v>93872000</v>
      </c>
      <c r="M43" s="147">
        <f>VLOOKUP(M$1,'As Filed'!$A$8:$BV$35,'As Filed'!$AP$7,FALSE)</f>
        <v>13054000</v>
      </c>
      <c r="N43" s="147">
        <f>VLOOKUP(N$1,'As Filed'!$A$8:$BV$35,'As Filed'!$AP$7,FALSE)</f>
        <v>17109000</v>
      </c>
    </row>
    <row r="44" spans="1:14">
      <c r="A44" s="131"/>
      <c r="B44" s="132" t="s">
        <v>110</v>
      </c>
      <c r="C44" s="134">
        <f t="shared" ref="C44:N44" si="13">SUM(C40:C43)</f>
        <v>1252102549</v>
      </c>
      <c r="D44" s="134">
        <f t="shared" si="13"/>
        <v>1350755076</v>
      </c>
      <c r="E44" s="134">
        <f t="shared" si="13"/>
        <v>1428834368</v>
      </c>
      <c r="F44" s="134">
        <f t="shared" si="13"/>
        <v>1708079756</v>
      </c>
      <c r="G44" s="134">
        <f t="shared" si="13"/>
        <v>1585053903</v>
      </c>
      <c r="H44" s="134">
        <f t="shared" si="13"/>
        <v>1441711308</v>
      </c>
      <c r="I44" s="134">
        <f t="shared" si="13"/>
        <v>1370220000</v>
      </c>
      <c r="J44" s="134">
        <f t="shared" si="13"/>
        <v>1294289000</v>
      </c>
      <c r="K44" s="134">
        <f t="shared" si="13"/>
        <v>1527008000</v>
      </c>
      <c r="L44" s="134">
        <f t="shared" si="13"/>
        <v>1503242000</v>
      </c>
      <c r="M44" s="134">
        <f t="shared" si="13"/>
        <v>1176142000</v>
      </c>
      <c r="N44" s="134">
        <f t="shared" si="13"/>
        <v>1236482000</v>
      </c>
    </row>
    <row r="45" spans="1:14">
      <c r="A45" s="131"/>
      <c r="B45" s="132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</row>
    <row r="46" spans="1:14">
      <c r="A46" s="131"/>
      <c r="B46" s="132" t="s">
        <v>111</v>
      </c>
      <c r="C46" s="134">
        <f>VLOOKUP(C$1,'As Filed'!$A$8:$BV$35,'As Filed'!$AT$7,FALSE)-VLOOKUP(C$1,'As Filed'!$A$8:$BV$35,'As Filed'!$AU$7,FALSE)-VLOOKUP(C$1,'As Filed'!$A$8:$BV$35,'As Filed'!$AV$7,FALSE)-VLOOKUP(C$1,'As Filed'!$A$8:$BV$35,'As Filed'!$AW$7,FALSE)</f>
        <v>45904000</v>
      </c>
      <c r="D46" s="134">
        <f>VLOOKUP(D$1,'As Filed'!$A$8:$BV$35,'As Filed'!$AT$7,FALSE)-VLOOKUP(D$1,'As Filed'!$A$8:$BV$35,'As Filed'!$AU$7,FALSE)-VLOOKUP(D$1,'As Filed'!$A$8:$BV$35,'As Filed'!$AV$7,FALSE)-VLOOKUP(D$1,'As Filed'!$A$8:$BV$35,'As Filed'!$AW$7,FALSE)</f>
        <v>124917000</v>
      </c>
      <c r="E46" s="134">
        <f>VLOOKUP(E$1,'As Filed'!$A$8:$BV$35,'As Filed'!$AT$7,FALSE)-VLOOKUP(E$1,'As Filed'!$A$8:$BV$35,'As Filed'!$AU$7,FALSE)-VLOOKUP(E$1,'As Filed'!$A$8:$BV$35,'As Filed'!$AV$7,FALSE)-VLOOKUP(E$1,'As Filed'!$A$8:$BV$35,'As Filed'!$AW$7,FALSE)</f>
        <v>96244000</v>
      </c>
      <c r="F46" s="134">
        <f>VLOOKUP(F$1,'As Filed'!$A$8:$BV$35,'As Filed'!$AT$7,FALSE)-VLOOKUP(F$1,'As Filed'!$A$8:$BV$35,'As Filed'!$AU$7,FALSE)-VLOOKUP(F$1,'As Filed'!$A$8:$BV$35,'As Filed'!$AV$7,FALSE)-VLOOKUP(F$1,'As Filed'!$A$8:$BV$35,'As Filed'!$AW$7,FALSE)</f>
        <v>96890000</v>
      </c>
      <c r="G46" s="134">
        <f>VLOOKUP(G$1,'As Filed'!$A$8:$BV$35,'As Filed'!$AT$7,FALSE)-VLOOKUP(G$1,'As Filed'!$A$8:$BV$35,'As Filed'!$AU$7,FALSE)-VLOOKUP(G$1,'As Filed'!$A$8:$BV$35,'As Filed'!$AV$7,FALSE)-VLOOKUP(G$1,'As Filed'!$A$8:$BV$35,'As Filed'!$AW$7,FALSE)</f>
        <v>49158000</v>
      </c>
      <c r="H46" s="134">
        <f>VLOOKUP(H$1,'As Filed'!$A$8:$BV$35,'As Filed'!$AT$7,FALSE)-VLOOKUP(H$1,'As Filed'!$A$8:$BV$35,'As Filed'!$AU$7,FALSE)-VLOOKUP(H$1,'As Filed'!$A$8:$BV$35,'As Filed'!$AV$7,FALSE)-VLOOKUP(H$1,'As Filed'!$A$8:$BV$35,'As Filed'!$AW$7,FALSE)</f>
        <v>108739000</v>
      </c>
      <c r="I46" s="134">
        <f>VLOOKUP(I$1,'As Filed'!$A$8:$BV$35,'As Filed'!$AT$7,FALSE)-VLOOKUP(I$1,'As Filed'!$A$8:$BV$35,'As Filed'!$AU$7,FALSE)-VLOOKUP(I$1,'As Filed'!$A$8:$BV$35,'As Filed'!$AV$7,FALSE)-VLOOKUP(I$1,'As Filed'!$A$8:$BV$35,'As Filed'!$AW$7,FALSE)</f>
        <v>205726000</v>
      </c>
      <c r="J46" s="134">
        <f>VLOOKUP(J$1,'As Filed'!$A$8:$BV$35,'As Filed'!$AT$7,FALSE)-VLOOKUP(J$1,'As Filed'!$A$8:$BV$35,'As Filed'!$AU$7,FALSE)-VLOOKUP(J$1,'As Filed'!$A$8:$BV$35,'As Filed'!$AV$7,FALSE)-VLOOKUP(J$1,'As Filed'!$A$8:$BV$35,'As Filed'!$AW$7,FALSE)</f>
        <v>207341000</v>
      </c>
      <c r="K46" s="134">
        <f>VLOOKUP(K$1,'As Filed'!$A$8:$BV$35,'As Filed'!$AT$7,FALSE)-VLOOKUP(K$1,'As Filed'!$A$8:$BV$35,'As Filed'!$AU$7,FALSE)-VLOOKUP(K$1,'As Filed'!$A$8:$BV$35,'As Filed'!$AV$7,FALSE)-VLOOKUP(K$1,'As Filed'!$A$8:$BV$35,'As Filed'!$AW$7,FALSE)</f>
        <v>158716000</v>
      </c>
      <c r="L46" s="134">
        <f>VLOOKUP(L$1,'As Filed'!$A$8:$BV$35,'As Filed'!$AT$7,FALSE)-VLOOKUP(L$1,'As Filed'!$A$8:$BV$35,'As Filed'!$AU$7,FALSE)-VLOOKUP(L$1,'As Filed'!$A$8:$BV$35,'As Filed'!$AV$7,FALSE)-VLOOKUP(L$1,'As Filed'!$A$8:$BV$35,'As Filed'!$AW$7,FALSE)</f>
        <v>95688000</v>
      </c>
      <c r="M46" s="134">
        <f>VLOOKUP(M$1,'As Filed'!$A$8:$BV$35,'As Filed'!$AT$7,FALSE)-VLOOKUP(M$1,'As Filed'!$A$8:$BV$35,'As Filed'!$AU$7,FALSE)-VLOOKUP(M$1,'As Filed'!$A$8:$BV$35,'As Filed'!$AV$7,FALSE)-VLOOKUP(M$1,'As Filed'!$A$8:$BV$35,'As Filed'!$AW$7,FALSE)</f>
        <v>13702000</v>
      </c>
      <c r="N46" s="134">
        <f>VLOOKUP(N$1,'As Filed'!$A$8:$BV$35,'As Filed'!$AT$7,FALSE)-VLOOKUP(N$1,'As Filed'!$A$8:$BV$35,'As Filed'!$AU$7,FALSE)-VLOOKUP(N$1,'As Filed'!$A$8:$BV$35,'As Filed'!$AV$7,FALSE)-VLOOKUP(N$1,'As Filed'!$A$8:$BV$35,'As Filed'!$AW$7,FALSE)</f>
        <v>18865000</v>
      </c>
    </row>
    <row r="47" spans="1:14">
      <c r="A47" s="131"/>
      <c r="B47" s="143" t="s">
        <v>109</v>
      </c>
      <c r="C47" s="134">
        <f>VLOOKUP(C$1,'As Filed'!$A$8:$BV$35,'As Filed'!$AU$7,FALSE)</f>
        <v>367550000</v>
      </c>
      <c r="D47" s="134">
        <f>VLOOKUP(D$1,'As Filed'!$A$8:$BV$35,'As Filed'!$AU$7,FALSE)</f>
        <v>211197000</v>
      </c>
      <c r="E47" s="134">
        <f>VLOOKUP(E$1,'As Filed'!$A$8:$BV$35,'As Filed'!$AU$7,FALSE)</f>
        <v>128241000</v>
      </c>
      <c r="F47" s="134">
        <f>VLOOKUP(F$1,'As Filed'!$A$8:$BV$35,'As Filed'!$AU$7,FALSE)</f>
        <v>165231000</v>
      </c>
      <c r="G47" s="134">
        <f>VLOOKUP(G$1,'As Filed'!$A$8:$BV$35,'As Filed'!$AU$7,FALSE)</f>
        <v>214643000</v>
      </c>
      <c r="H47" s="134">
        <f>VLOOKUP(H$1,'As Filed'!$A$8:$BV$35,'As Filed'!$AU$7,FALSE)</f>
        <v>367228000</v>
      </c>
      <c r="I47" s="134">
        <f>VLOOKUP(I$1,'As Filed'!$A$8:$BV$35,'As Filed'!$AU$7,FALSE)</f>
        <v>298394000</v>
      </c>
      <c r="J47" s="134">
        <f>VLOOKUP(J$1,'As Filed'!$A$8:$BV$35,'As Filed'!$AU$7,FALSE)</f>
        <v>240256000</v>
      </c>
      <c r="K47" s="134">
        <f>VLOOKUP(K$1,'As Filed'!$A$8:$BV$35,'As Filed'!$AU$7,FALSE)</f>
        <v>425541000</v>
      </c>
      <c r="L47" s="134">
        <f>VLOOKUP(L$1,'As Filed'!$A$8:$BV$35,'As Filed'!$AU$7,FALSE)</f>
        <v>436448000</v>
      </c>
      <c r="M47" s="134">
        <f>VLOOKUP(M$1,'As Filed'!$A$8:$BV$35,'As Filed'!$AU$7,FALSE)</f>
        <v>290185000</v>
      </c>
      <c r="N47" s="134">
        <f>VLOOKUP(N$1,'As Filed'!$A$8:$BV$35,'As Filed'!$AU$7,FALSE)</f>
        <v>317379000</v>
      </c>
    </row>
    <row r="48" spans="1:14">
      <c r="A48" s="131"/>
      <c r="B48" s="143" t="s">
        <v>113</v>
      </c>
      <c r="C48" s="134">
        <f>VLOOKUP(C$1,'As Filed'!$A$8:$BV$35,'As Filed'!$AV$7,FALSE)+VLOOKUP(C$1,'As Filed'!$A$8:$BV$35,'As Filed'!$AW$7,FALSE)</f>
        <v>1000</v>
      </c>
      <c r="D48" s="134">
        <f>VLOOKUP(D$1,'As Filed'!$A$8:$BV$35,'As Filed'!$AV$7,FALSE)+VLOOKUP(D$1,'As Filed'!$A$8:$BV$35,'As Filed'!$AW$7,FALSE)</f>
        <v>882000</v>
      </c>
      <c r="E48" s="134">
        <f>VLOOKUP(E$1,'As Filed'!$A$8:$BV$35,'As Filed'!$AV$7,FALSE)+VLOOKUP(E$1,'As Filed'!$A$8:$BV$35,'As Filed'!$AW$7,FALSE)</f>
        <v>1000000</v>
      </c>
      <c r="F48" s="134">
        <f>VLOOKUP(F$1,'As Filed'!$A$8:$BV$35,'As Filed'!$AV$7,FALSE)+VLOOKUP(F$1,'As Filed'!$A$8:$BV$35,'As Filed'!$AW$7,FALSE)</f>
        <v>714000</v>
      </c>
      <c r="G48" s="134">
        <f>VLOOKUP(G$1,'As Filed'!$A$8:$BV$35,'As Filed'!$AV$7,FALSE)+VLOOKUP(G$1,'As Filed'!$A$8:$BV$35,'As Filed'!$AW$7,FALSE)</f>
        <v>177000</v>
      </c>
      <c r="H48" s="134">
        <f>VLOOKUP(H$1,'As Filed'!$A$8:$BV$35,'As Filed'!$AV$7,FALSE)+VLOOKUP(H$1,'As Filed'!$A$8:$BV$35,'As Filed'!$AW$7,FALSE)</f>
        <v>0</v>
      </c>
      <c r="I48" s="134">
        <f>VLOOKUP(I$1,'As Filed'!$A$8:$BV$35,'As Filed'!$AV$7,FALSE)+VLOOKUP(I$1,'As Filed'!$A$8:$BV$35,'As Filed'!$AW$7,FALSE)</f>
        <v>34000</v>
      </c>
      <c r="J48" s="134">
        <f>VLOOKUP(J$1,'As Filed'!$A$8:$BV$35,'As Filed'!$AV$7,FALSE)+VLOOKUP(J$1,'As Filed'!$A$8:$BV$35,'As Filed'!$AW$7,FALSE)</f>
        <v>0</v>
      </c>
      <c r="K48" s="134">
        <f>VLOOKUP(K$1,'As Filed'!$A$8:$BV$35,'As Filed'!$AV$7,FALSE)+VLOOKUP(K$1,'As Filed'!$A$8:$BV$35,'As Filed'!$AW$7,FALSE)</f>
        <v>0</v>
      </c>
      <c r="L48" s="134">
        <f>VLOOKUP(L$1,'As Filed'!$A$8:$BV$35,'As Filed'!$AV$7,FALSE)+VLOOKUP(L$1,'As Filed'!$A$8:$BV$35,'As Filed'!$AW$7,FALSE)</f>
        <v>0</v>
      </c>
      <c r="M48" s="134">
        <f>VLOOKUP(M$1,'As Filed'!$A$8:$BV$35,'As Filed'!$AV$7,FALSE)+VLOOKUP(M$1,'As Filed'!$A$8:$BV$35,'As Filed'!$AW$7,FALSE)</f>
        <v>0</v>
      </c>
      <c r="N48" s="134">
        <f>VLOOKUP(N$1,'As Filed'!$A$8:$BV$35,'As Filed'!$AV$7,FALSE)+VLOOKUP(N$1,'As Filed'!$A$8:$BV$35,'As Filed'!$AW$7,FALSE)</f>
        <v>0</v>
      </c>
    </row>
    <row r="49" spans="1:14">
      <c r="A49" s="131"/>
      <c r="B49" s="152" t="s">
        <v>134</v>
      </c>
      <c r="C49" s="153">
        <f>VLOOKUP(C$1,'As Filed'!$A$8:$BV$35,'As Filed'!$BV$7,FALSE)</f>
        <v>4.8708770057787752E-2</v>
      </c>
      <c r="D49" s="153">
        <f>VLOOKUP(D$1,'As Filed'!$A$8:$BV$35,'As Filed'!$BV$7,FALSE)</f>
        <v>5.3559763357220888E-2</v>
      </c>
      <c r="E49" s="153">
        <f>VLOOKUP(E$1,'As Filed'!$A$8:$BV$35,'As Filed'!$BV$7,FALSE)</f>
        <v>5.761615009729789E-2</v>
      </c>
      <c r="F49" s="153">
        <f>VLOOKUP(F$1,'As Filed'!$A$8:$BV$35,'As Filed'!$BV$7,FALSE)</f>
        <v>6.2870971940904158E-2</v>
      </c>
      <c r="G49" s="153">
        <f>VLOOKUP(G$1,'As Filed'!$A$8:$BV$35,'As Filed'!$BV$7,FALSE)</f>
        <v>6.7702441872549091E-2</v>
      </c>
      <c r="H49" s="153">
        <f>VLOOKUP(H$1,'As Filed'!$A$8:$BV$35,'As Filed'!$BV$7,FALSE)</f>
        <v>6.283310264672487E-2</v>
      </c>
      <c r="I49" s="153">
        <f>VLOOKUP(I$1,'As Filed'!$A$8:$BV$35,'As Filed'!$BV$7,FALSE)</f>
        <v>5.62025519211782E-2</v>
      </c>
      <c r="J49" s="153">
        <f>VLOOKUP(J$1,'As Filed'!$A$8:$BV$35,'As Filed'!$BV$7,FALSE)</f>
        <v>5.1247216797003836E-2</v>
      </c>
      <c r="K49" s="153">
        <f>VLOOKUP(K$1,'As Filed'!$A$8:$BV$35,'As Filed'!$BV$7,FALSE)</f>
        <v>5.7275439383740544E-2</v>
      </c>
      <c r="L49" s="153">
        <f>VLOOKUP(L$1,'As Filed'!$A$8:$BV$35,'As Filed'!$BV$7,FALSE)</f>
        <v>5.656042996813114E-2</v>
      </c>
      <c r="M49" s="153">
        <f>VLOOKUP(M$1,'As Filed'!$A$8:$BV$35,'As Filed'!$BV$7,FALSE)</f>
        <v>5.5138471266621199E-2</v>
      </c>
      <c r="N49" s="153">
        <f>VLOOKUP(N$1,'As Filed'!$A$8:$BV$35,'As Filed'!$BV$7,FALSE)</f>
        <v>5.3747683923975061E-2</v>
      </c>
    </row>
    <row r="50" spans="1:14" ht="15">
      <c r="A50" s="131"/>
      <c r="B50" s="143" t="s">
        <v>136</v>
      </c>
      <c r="C50" s="142">
        <f>ROUND((C44-C46-C47-C48)*ROUND(C49,4),0)</f>
        <v>40842136</v>
      </c>
      <c r="D50" s="142">
        <f t="shared" ref="D50:N50" si="14">ROUND((D44-D46-D47-D48)*ROUND(D49,4),0)</f>
        <v>54337486</v>
      </c>
      <c r="E50" s="142">
        <f t="shared" si="14"/>
        <v>69312924</v>
      </c>
      <c r="F50" s="142">
        <f t="shared" si="14"/>
        <v>90905895</v>
      </c>
      <c r="G50" s="142">
        <f t="shared" si="14"/>
        <v>89436839</v>
      </c>
      <c r="H50" s="142">
        <f t="shared" si="14"/>
        <v>60648743</v>
      </c>
      <c r="I50" s="142">
        <f t="shared" si="14"/>
        <v>48672909</v>
      </c>
      <c r="J50" s="142">
        <f t="shared" si="14"/>
        <v>43350630</v>
      </c>
      <c r="K50" s="142">
        <f t="shared" si="14"/>
        <v>54019632</v>
      </c>
      <c r="L50" s="142">
        <f t="shared" si="14"/>
        <v>54964600</v>
      </c>
      <c r="M50" s="142">
        <f t="shared" si="14"/>
        <v>48061251</v>
      </c>
      <c r="N50" s="142">
        <f t="shared" si="14"/>
        <v>48342781</v>
      </c>
    </row>
    <row r="51" spans="1:14">
      <c r="A51" s="131"/>
      <c r="B51" s="132" t="s">
        <v>110</v>
      </c>
      <c r="C51" s="134">
        <f t="shared" ref="C51:N51" si="15">SUM(C46:C50)</f>
        <v>454297136.0487088</v>
      </c>
      <c r="D51" s="134">
        <f t="shared" si="15"/>
        <v>391333486.05355978</v>
      </c>
      <c r="E51" s="134">
        <f t="shared" si="15"/>
        <v>294797924.05761611</v>
      </c>
      <c r="F51" s="134">
        <f t="shared" si="15"/>
        <v>353740895.06287098</v>
      </c>
      <c r="G51" s="134">
        <f t="shared" si="15"/>
        <v>353414839.06770241</v>
      </c>
      <c r="H51" s="134">
        <f t="shared" si="15"/>
        <v>536615743.06283313</v>
      </c>
      <c r="I51" s="134">
        <f t="shared" si="15"/>
        <v>552826909.05620253</v>
      </c>
      <c r="J51" s="134">
        <f t="shared" si="15"/>
        <v>490947630.05124724</v>
      </c>
      <c r="K51" s="134">
        <f t="shared" si="15"/>
        <v>638276632.05727541</v>
      </c>
      <c r="L51" s="134">
        <f t="shared" si="15"/>
        <v>587100600.05656052</v>
      </c>
      <c r="M51" s="134">
        <f t="shared" si="15"/>
        <v>351948251.05513847</v>
      </c>
      <c r="N51" s="134">
        <f t="shared" si="15"/>
        <v>384586781.05374771</v>
      </c>
    </row>
    <row r="52" spans="1:14">
      <c r="A52" s="131"/>
      <c r="B52" s="132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</row>
    <row r="53" spans="1:14">
      <c r="A53" s="138"/>
      <c r="B53" s="139" t="s">
        <v>121</v>
      </c>
      <c r="C53" s="148">
        <f t="shared" ref="C53:N53" si="16">C44-C51</f>
        <v>797805412.9512912</v>
      </c>
      <c r="D53" s="148">
        <f t="shared" si="16"/>
        <v>959421589.94644022</v>
      </c>
      <c r="E53" s="148">
        <f t="shared" si="16"/>
        <v>1134036443.9423838</v>
      </c>
      <c r="F53" s="148">
        <f t="shared" si="16"/>
        <v>1354338860.937129</v>
      </c>
      <c r="G53" s="148">
        <f t="shared" si="16"/>
        <v>1231639063.9322977</v>
      </c>
      <c r="H53" s="148">
        <f t="shared" si="16"/>
        <v>905095564.93716693</v>
      </c>
      <c r="I53" s="148">
        <f t="shared" si="16"/>
        <v>817393090.94379747</v>
      </c>
      <c r="J53" s="148">
        <f t="shared" si="16"/>
        <v>803341369.94875276</v>
      </c>
      <c r="K53" s="148">
        <f t="shared" si="16"/>
        <v>888731367.94272459</v>
      </c>
      <c r="L53" s="148">
        <f t="shared" si="16"/>
        <v>916141399.94343948</v>
      </c>
      <c r="M53" s="148">
        <f t="shared" si="16"/>
        <v>824193748.94486153</v>
      </c>
      <c r="N53" s="148">
        <f t="shared" si="16"/>
        <v>851895218.94625235</v>
      </c>
    </row>
    <row r="54" spans="1:14">
      <c r="A54" s="177" t="s">
        <v>149</v>
      </c>
      <c r="B54" s="129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</row>
    <row r="55" spans="1:14">
      <c r="A55" s="131"/>
      <c r="B55" s="132" t="s">
        <v>122</v>
      </c>
      <c r="C55" s="136">
        <v>2.2399999999999998E-3</v>
      </c>
      <c r="D55" s="136">
        <v>2.32E-3</v>
      </c>
      <c r="E55" s="136">
        <f>C9</f>
        <v>4.1199999999999987E-3</v>
      </c>
      <c r="F55" s="136">
        <f t="shared" ref="F55:N55" si="17">D9</f>
        <v>4.1499999999999974E-3</v>
      </c>
      <c r="G55" s="136">
        <f t="shared" si="17"/>
        <v>3.3399999999999992E-3</v>
      </c>
      <c r="H55" s="136">
        <f t="shared" si="17"/>
        <v>2.3199999999999991E-3</v>
      </c>
      <c r="I55" s="136">
        <f t="shared" si="17"/>
        <v>2.190000000000001E-3</v>
      </c>
      <c r="J55" s="136">
        <f t="shared" si="17"/>
        <v>3.040000000000001E-3</v>
      </c>
      <c r="K55" s="136">
        <f t="shared" si="17"/>
        <v>3.0300000000000014E-3</v>
      </c>
      <c r="L55" s="136">
        <f t="shared" si="17"/>
        <v>3.4500000000000017E-3</v>
      </c>
      <c r="M55" s="136">
        <f t="shared" si="17"/>
        <v>3.6699999999999997E-3</v>
      </c>
      <c r="N55" s="136">
        <f t="shared" si="17"/>
        <v>4.3699999999999989E-3</v>
      </c>
    </row>
    <row r="56" spans="1:14">
      <c r="A56" s="131"/>
      <c r="B56" s="132" t="s">
        <v>123</v>
      </c>
      <c r="C56" s="134">
        <f>VLOOKUP(C$1,'As Filed'!$A$8:$BV$35,'As Filed'!$AX$7,FALSE)-VLOOKUP(C$1,'As Filed'!$A$8:$BV$35,'As Filed'!$AL$7,FALSE)</f>
        <v>828036132</v>
      </c>
      <c r="D56" s="134">
        <f>VLOOKUP(D$1,'As Filed'!$A$8:$BV$35,'As Filed'!$AX$7,FALSE)-VLOOKUP(D$1,'As Filed'!$A$8:$BV$35,'As Filed'!$AL$7,FALSE)</f>
        <v>851042663</v>
      </c>
      <c r="E56" s="134">
        <f>VLOOKUP(E$1,'As Filed'!$A$8:$BV$35,'As Filed'!$AX$7,FALSE)-VLOOKUP(E$1,'As Filed'!$A$8:$BV$35,'As Filed'!$AL$7,FALSE)</f>
        <v>1092396993</v>
      </c>
      <c r="F56" s="134">
        <f>VLOOKUP(F$1,'As Filed'!$A$8:$BV$35,'As Filed'!$AX$7,FALSE)-VLOOKUP(F$1,'As Filed'!$A$8:$BV$35,'As Filed'!$AL$7,FALSE)</f>
        <v>1154148472</v>
      </c>
      <c r="G56" s="134">
        <f>VLOOKUP(G$1,'As Filed'!$A$8:$BV$35,'As Filed'!$AX$7,FALSE)-VLOOKUP(G$1,'As Filed'!$A$8:$BV$35,'As Filed'!$AL$7,FALSE)</f>
        <v>1351026921</v>
      </c>
      <c r="H56" s="134">
        <f>VLOOKUP(H$1,'As Filed'!$A$8:$BV$35,'As Filed'!$AX$7,FALSE)-VLOOKUP(H$1,'As Filed'!$A$8:$BV$35,'As Filed'!$AL$7,FALSE)</f>
        <v>1116099061</v>
      </c>
      <c r="I56" s="134">
        <f>VLOOKUP(I$1,'As Filed'!$A$8:$BV$35,'As Filed'!$AX$7,FALSE)-VLOOKUP(I$1,'As Filed'!$A$8:$BV$35,'As Filed'!$AL$7,FALSE)</f>
        <v>878367270</v>
      </c>
      <c r="J56" s="134">
        <f>VLOOKUP(J$1,'As Filed'!$A$8:$BV$35,'As Filed'!$AX$7,FALSE)-VLOOKUP(J$1,'As Filed'!$A$8:$BV$35,'As Filed'!$AL$7,FALSE)</f>
        <v>772982759</v>
      </c>
      <c r="K56" s="134">
        <f>VLOOKUP(K$1,'As Filed'!$A$8:$BV$35,'As Filed'!$AX$7,FALSE)-VLOOKUP(K$1,'As Filed'!$A$8:$BV$35,'As Filed'!$AL$7,FALSE)</f>
        <v>852508721</v>
      </c>
      <c r="L56" s="134">
        <f>VLOOKUP(L$1,'As Filed'!$A$8:$BV$35,'As Filed'!$AX$7,FALSE)-VLOOKUP(L$1,'As Filed'!$A$8:$BV$35,'As Filed'!$AL$7,FALSE)</f>
        <v>975042588</v>
      </c>
      <c r="M56" s="134">
        <f>VLOOKUP(M$1,'As Filed'!$A$8:$BV$35,'As Filed'!$AX$7,FALSE)-VLOOKUP(M$1,'As Filed'!$A$8:$BV$35,'As Filed'!$AL$7,FALSE)</f>
        <v>837554049</v>
      </c>
      <c r="N56" s="134">
        <f>VLOOKUP(N$1,'As Filed'!$A$8:$BV$35,'As Filed'!$AX$7,FALSE)-VLOOKUP(N$1,'As Filed'!$A$8:$BV$35,'As Filed'!$AL$7,FALSE)</f>
        <v>851953567</v>
      </c>
    </row>
    <row r="57" spans="1:14">
      <c r="A57" s="131"/>
      <c r="B57" s="132" t="s">
        <v>124</v>
      </c>
      <c r="C57" s="133">
        <f t="shared" ref="C57:N57" si="18">ROUND(C55*C56,0)</f>
        <v>1854801</v>
      </c>
      <c r="D57" s="133">
        <f t="shared" si="18"/>
        <v>1974419</v>
      </c>
      <c r="E57" s="133">
        <f t="shared" si="18"/>
        <v>4500676</v>
      </c>
      <c r="F57" s="133">
        <f t="shared" si="18"/>
        <v>4789716</v>
      </c>
      <c r="G57" s="133">
        <f t="shared" si="18"/>
        <v>4512430</v>
      </c>
      <c r="H57" s="133">
        <f t="shared" si="18"/>
        <v>2589350</v>
      </c>
      <c r="I57" s="133">
        <f t="shared" si="18"/>
        <v>1923624</v>
      </c>
      <c r="J57" s="133">
        <f t="shared" si="18"/>
        <v>2349868</v>
      </c>
      <c r="K57" s="133">
        <f t="shared" si="18"/>
        <v>2583101</v>
      </c>
      <c r="L57" s="133">
        <f t="shared" si="18"/>
        <v>3363897</v>
      </c>
      <c r="M57" s="133">
        <f t="shared" si="18"/>
        <v>3073823</v>
      </c>
      <c r="N57" s="133">
        <f t="shared" si="18"/>
        <v>3723037</v>
      </c>
    </row>
    <row r="58" spans="1:14">
      <c r="A58" s="131"/>
      <c r="B58" s="132" t="s">
        <v>125</v>
      </c>
      <c r="C58" s="146">
        <v>863359867</v>
      </c>
      <c r="D58" s="146">
        <v>889920492</v>
      </c>
      <c r="E58" s="146">
        <f>C5</f>
        <v>797805412.9512912</v>
      </c>
      <c r="F58" s="146">
        <f t="shared" ref="F58:N58" si="19">D5</f>
        <v>959421589.94644022</v>
      </c>
      <c r="G58" s="146">
        <f t="shared" si="19"/>
        <v>1134036443.9423838</v>
      </c>
      <c r="H58" s="146">
        <f t="shared" si="19"/>
        <v>1354338860.937129</v>
      </c>
      <c r="I58" s="146">
        <f t="shared" si="19"/>
        <v>1231639063.9322977</v>
      </c>
      <c r="J58" s="146">
        <f t="shared" si="19"/>
        <v>905095564.93716693</v>
      </c>
      <c r="K58" s="146">
        <f t="shared" si="19"/>
        <v>817393090.94379747</v>
      </c>
      <c r="L58" s="146">
        <f t="shared" si="19"/>
        <v>803341369.94875276</v>
      </c>
      <c r="M58" s="146">
        <f t="shared" si="19"/>
        <v>888731367.94272459</v>
      </c>
      <c r="N58" s="146">
        <f t="shared" si="19"/>
        <v>916141399.94343948</v>
      </c>
    </row>
    <row r="59" spans="1:14">
      <c r="A59" s="131"/>
      <c r="B59" s="132" t="s">
        <v>126</v>
      </c>
      <c r="C59" s="146">
        <v>0</v>
      </c>
      <c r="D59" s="146">
        <v>0</v>
      </c>
      <c r="E59" s="146">
        <v>0</v>
      </c>
      <c r="F59" s="146">
        <v>0</v>
      </c>
      <c r="G59" s="146">
        <v>0</v>
      </c>
      <c r="H59" s="146">
        <v>0</v>
      </c>
      <c r="I59" s="146">
        <v>0</v>
      </c>
      <c r="J59" s="146">
        <v>0</v>
      </c>
      <c r="K59" s="146">
        <v>0</v>
      </c>
      <c r="L59" s="146">
        <v>0</v>
      </c>
      <c r="M59" s="146">
        <v>0</v>
      </c>
      <c r="N59" s="146">
        <v>0</v>
      </c>
    </row>
    <row r="60" spans="1:14">
      <c r="A60" s="131"/>
      <c r="B60" s="132" t="s">
        <v>127</v>
      </c>
      <c r="C60" s="134">
        <f t="shared" ref="C60:N60" si="20">C58-C59</f>
        <v>863359867</v>
      </c>
      <c r="D60" s="134">
        <f t="shared" si="20"/>
        <v>889920492</v>
      </c>
      <c r="E60" s="134">
        <f t="shared" si="20"/>
        <v>797805412.9512912</v>
      </c>
      <c r="F60" s="134">
        <f t="shared" si="20"/>
        <v>959421589.94644022</v>
      </c>
      <c r="G60" s="134">
        <f t="shared" si="20"/>
        <v>1134036443.9423838</v>
      </c>
      <c r="H60" s="134">
        <f t="shared" si="20"/>
        <v>1354338860.937129</v>
      </c>
      <c r="I60" s="134">
        <f t="shared" si="20"/>
        <v>1231639063.9322977</v>
      </c>
      <c r="J60" s="134">
        <f t="shared" si="20"/>
        <v>905095564.93716693</v>
      </c>
      <c r="K60" s="134">
        <f t="shared" si="20"/>
        <v>817393090.94379747</v>
      </c>
      <c r="L60" s="134">
        <f t="shared" si="20"/>
        <v>803341369.94875276</v>
      </c>
      <c r="M60" s="134">
        <f t="shared" si="20"/>
        <v>888731367.94272459</v>
      </c>
      <c r="N60" s="134">
        <f t="shared" si="20"/>
        <v>916141399.94343948</v>
      </c>
    </row>
    <row r="61" spans="1:14">
      <c r="A61" s="131"/>
      <c r="B61" s="132" t="s">
        <v>128</v>
      </c>
      <c r="C61" s="136">
        <v>0</v>
      </c>
      <c r="D61" s="136">
        <v>0</v>
      </c>
      <c r="E61" s="136">
        <v>0</v>
      </c>
      <c r="F61" s="136">
        <v>0</v>
      </c>
      <c r="G61" s="136">
        <v>0</v>
      </c>
      <c r="H61" s="136">
        <v>0</v>
      </c>
      <c r="I61" s="136">
        <v>0</v>
      </c>
      <c r="J61" s="136">
        <v>0</v>
      </c>
      <c r="K61" s="136">
        <v>0</v>
      </c>
      <c r="L61" s="136">
        <v>0</v>
      </c>
      <c r="M61" s="136">
        <v>0</v>
      </c>
      <c r="N61" s="136">
        <v>0</v>
      </c>
    </row>
    <row r="62" spans="1:14">
      <c r="A62" s="131"/>
      <c r="B62" s="132" t="s">
        <v>129</v>
      </c>
      <c r="C62" s="133">
        <f t="shared" ref="C62:M62" si="21">IF(C61=0,ROUND(C60*C55,0),ROUND(C60*C61,0))</f>
        <v>1933926</v>
      </c>
      <c r="D62" s="133">
        <f t="shared" si="21"/>
        <v>2064616</v>
      </c>
      <c r="E62" s="133">
        <f t="shared" si="21"/>
        <v>3286958</v>
      </c>
      <c r="F62" s="133">
        <f t="shared" si="21"/>
        <v>3981600</v>
      </c>
      <c r="G62" s="133">
        <f t="shared" si="21"/>
        <v>3787682</v>
      </c>
      <c r="H62" s="133">
        <f t="shared" si="21"/>
        <v>3142066</v>
      </c>
      <c r="I62" s="133">
        <f t="shared" si="21"/>
        <v>2697290</v>
      </c>
      <c r="J62" s="133">
        <f t="shared" si="21"/>
        <v>2751491</v>
      </c>
      <c r="K62" s="133">
        <f t="shared" si="21"/>
        <v>2476701</v>
      </c>
      <c r="L62" s="133">
        <f t="shared" si="21"/>
        <v>2771528</v>
      </c>
      <c r="M62" s="133">
        <f t="shared" si="21"/>
        <v>3261644</v>
      </c>
      <c r="N62" s="133">
        <f>IF(N61=0,ROUND(N60*N55,0),ROUND(N60*N61,0))</f>
        <v>4003538</v>
      </c>
    </row>
    <row r="63" spans="1:14">
      <c r="A63" s="131"/>
      <c r="B63" s="132" t="s">
        <v>130</v>
      </c>
      <c r="C63" s="145">
        <f t="shared" ref="C63:N63" si="22">C57-C62</f>
        <v>-79125</v>
      </c>
      <c r="D63" s="145">
        <f t="shared" si="22"/>
        <v>-90197</v>
      </c>
      <c r="E63" s="145">
        <f t="shared" si="22"/>
        <v>1213718</v>
      </c>
      <c r="F63" s="145">
        <f t="shared" si="22"/>
        <v>808116</v>
      </c>
      <c r="G63" s="145">
        <f t="shared" si="22"/>
        <v>724748</v>
      </c>
      <c r="H63" s="145">
        <f t="shared" si="22"/>
        <v>-552716</v>
      </c>
      <c r="I63" s="145">
        <f t="shared" si="22"/>
        <v>-773666</v>
      </c>
      <c r="J63" s="145">
        <f t="shared" si="22"/>
        <v>-401623</v>
      </c>
      <c r="K63" s="145">
        <f t="shared" si="22"/>
        <v>106400</v>
      </c>
      <c r="L63" s="145">
        <f t="shared" si="22"/>
        <v>592369</v>
      </c>
      <c r="M63" s="145">
        <f t="shared" si="22"/>
        <v>-187821</v>
      </c>
      <c r="N63" s="145">
        <f t="shared" si="22"/>
        <v>-280501</v>
      </c>
    </row>
    <row r="64" spans="1:14">
      <c r="A64" s="131"/>
      <c r="B64" s="132" t="s">
        <v>131</v>
      </c>
      <c r="C64" s="134">
        <f t="shared" ref="C64:N64" si="23">C53</f>
        <v>797805412.9512912</v>
      </c>
      <c r="D64" s="134">
        <f t="shared" si="23"/>
        <v>959421589.94644022</v>
      </c>
      <c r="E64" s="134">
        <f t="shared" si="23"/>
        <v>1134036443.9423838</v>
      </c>
      <c r="F64" s="134">
        <f t="shared" si="23"/>
        <v>1354338860.937129</v>
      </c>
      <c r="G64" s="134">
        <f t="shared" si="23"/>
        <v>1231639063.9322977</v>
      </c>
      <c r="H64" s="134">
        <f t="shared" si="23"/>
        <v>905095564.93716693</v>
      </c>
      <c r="I64" s="134">
        <f t="shared" si="23"/>
        <v>817393090.94379747</v>
      </c>
      <c r="J64" s="134">
        <f t="shared" si="23"/>
        <v>803341369.94875276</v>
      </c>
      <c r="K64" s="134">
        <f t="shared" si="23"/>
        <v>888731367.94272459</v>
      </c>
      <c r="L64" s="134">
        <f t="shared" si="23"/>
        <v>916141399.94343948</v>
      </c>
      <c r="M64" s="134">
        <f t="shared" si="23"/>
        <v>824193748.94486153</v>
      </c>
      <c r="N64" s="134">
        <f t="shared" si="23"/>
        <v>851895218.94625235</v>
      </c>
    </row>
    <row r="65" spans="1:14">
      <c r="A65" s="131"/>
      <c r="B65" s="132" t="s">
        <v>127</v>
      </c>
      <c r="C65" s="134">
        <f>C64</f>
        <v>797805412.9512912</v>
      </c>
      <c r="D65" s="134">
        <f t="shared" ref="D65:N65" si="24">D64</f>
        <v>959421589.94644022</v>
      </c>
      <c r="E65" s="134">
        <f t="shared" si="24"/>
        <v>1134036443.9423838</v>
      </c>
      <c r="F65" s="134">
        <f t="shared" si="24"/>
        <v>1354338860.937129</v>
      </c>
      <c r="G65" s="134">
        <f t="shared" si="24"/>
        <v>1231639063.9322977</v>
      </c>
      <c r="H65" s="134">
        <f t="shared" si="24"/>
        <v>905095564.93716693</v>
      </c>
      <c r="I65" s="134">
        <f t="shared" si="24"/>
        <v>817393090.94379747</v>
      </c>
      <c r="J65" s="134">
        <f t="shared" si="24"/>
        <v>803341369.94875276</v>
      </c>
      <c r="K65" s="134">
        <f t="shared" si="24"/>
        <v>888731367.94272459</v>
      </c>
      <c r="L65" s="134">
        <f t="shared" si="24"/>
        <v>916141399.94343948</v>
      </c>
      <c r="M65" s="134">
        <f t="shared" si="24"/>
        <v>824193748.94486153</v>
      </c>
      <c r="N65" s="134">
        <f t="shared" si="24"/>
        <v>851895218.94625235</v>
      </c>
    </row>
    <row r="66" spans="1:14">
      <c r="A66" s="131"/>
      <c r="B66" s="132" t="s">
        <v>132</v>
      </c>
      <c r="C66" s="135">
        <f t="shared" ref="C66:N66" si="25">ROUND(C64/C65,8)</f>
        <v>1</v>
      </c>
      <c r="D66" s="135">
        <f t="shared" si="25"/>
        <v>1</v>
      </c>
      <c r="E66" s="135">
        <f t="shared" si="25"/>
        <v>1</v>
      </c>
      <c r="F66" s="135">
        <f t="shared" si="25"/>
        <v>1</v>
      </c>
      <c r="G66" s="135">
        <f t="shared" si="25"/>
        <v>1</v>
      </c>
      <c r="H66" s="135">
        <f t="shared" si="25"/>
        <v>1</v>
      </c>
      <c r="I66" s="135">
        <f t="shared" si="25"/>
        <v>1</v>
      </c>
      <c r="J66" s="135">
        <f t="shared" si="25"/>
        <v>1</v>
      </c>
      <c r="K66" s="135">
        <f t="shared" si="25"/>
        <v>1</v>
      </c>
      <c r="L66" s="135">
        <f t="shared" si="25"/>
        <v>1</v>
      </c>
      <c r="M66" s="135">
        <f t="shared" si="25"/>
        <v>1</v>
      </c>
      <c r="N66" s="135">
        <f t="shared" si="25"/>
        <v>1</v>
      </c>
    </row>
    <row r="67" spans="1:14">
      <c r="A67" s="138"/>
      <c r="B67" s="139" t="s">
        <v>133</v>
      </c>
      <c r="C67" s="149">
        <f t="shared" ref="C67:N67" si="26">ROUND(C63*C66,0)</f>
        <v>-79125</v>
      </c>
      <c r="D67" s="149">
        <f t="shared" si="26"/>
        <v>-90197</v>
      </c>
      <c r="E67" s="149">
        <f t="shared" si="26"/>
        <v>1213718</v>
      </c>
      <c r="F67" s="149">
        <f t="shared" si="26"/>
        <v>808116</v>
      </c>
      <c r="G67" s="149">
        <f t="shared" si="26"/>
        <v>724748</v>
      </c>
      <c r="H67" s="149">
        <f t="shared" si="26"/>
        <v>-552716</v>
      </c>
      <c r="I67" s="149">
        <f t="shared" si="26"/>
        <v>-773666</v>
      </c>
      <c r="J67" s="149">
        <f t="shared" si="26"/>
        <v>-401623</v>
      </c>
      <c r="K67" s="149">
        <f t="shared" si="26"/>
        <v>106400</v>
      </c>
      <c r="L67" s="149">
        <f t="shared" si="26"/>
        <v>592369</v>
      </c>
      <c r="M67" s="149">
        <f t="shared" si="26"/>
        <v>-187821</v>
      </c>
      <c r="N67" s="149">
        <f t="shared" si="26"/>
        <v>-280501</v>
      </c>
    </row>
    <row r="70" spans="1:14">
      <c r="A70" s="150"/>
      <c r="E70" s="179"/>
      <c r="F70" s="179"/>
      <c r="G70" s="179"/>
      <c r="H70" s="179"/>
      <c r="I70" s="179"/>
      <c r="J70" s="179"/>
      <c r="K70" s="179"/>
      <c r="L70" s="179"/>
      <c r="M70" s="179"/>
      <c r="N70" s="179"/>
    </row>
    <row r="88" spans="6:6">
      <c r="F88" s="126">
        <f>VLOOKUP(F$1,'[1]As Filed'!$A$6:$BQ$32,'[1]As Filed'!$O$5,FALSE)</f>
        <v>6672928.0300000003</v>
      </c>
    </row>
    <row r="89" spans="6:6">
      <c r="F89" s="126">
        <f>VLOOKUP(F$1,'[1]As Filed'!$A$6:$BQ$32,'[1]As Filed'!$P$5,FALSE)</f>
        <v>3775334.39</v>
      </c>
    </row>
    <row r="90" spans="6:6">
      <c r="F90" s="126">
        <f>VLOOKUP(F$1,'[1]As Filed'!$A$6:$BQ$32,'[1]As Filed'!$Q$5,FALSE)</f>
        <v>281308.2</v>
      </c>
    </row>
    <row r="91" spans="6:6">
      <c r="F91" s="151">
        <f>VLOOKUP(F$1,'[1]As Filed'!$A$6:$BQ$32,'[1]As Filed'!$R$5,FALSE)--VLOOKUP(F$1,'[1]As Filed'!$A$6:$BQ$32,'[1]As Filed'!$U$5,FALSE)</f>
        <v>172252.63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1"/>
  <sheetViews>
    <sheetView workbookViewId="0">
      <pane xSplit="2" ySplit="2" topLeftCell="I46" activePane="bottomRight" state="frozen"/>
      <selection pane="topRight" activeCell="C1" sqref="C1"/>
      <selection pane="bottomLeft" activeCell="A3" sqref="A3"/>
      <selection pane="bottomRight" activeCell="P62" sqref="P62"/>
    </sheetView>
  </sheetViews>
  <sheetFormatPr defaultRowHeight="12.75"/>
  <cols>
    <col min="1" max="1" width="9.140625" style="126"/>
    <col min="2" max="14" width="18.7109375" style="126" customWidth="1"/>
    <col min="15" max="15" width="9.140625" style="126"/>
    <col min="16" max="16" width="9.85546875" style="126" bestFit="1" customWidth="1"/>
    <col min="17" max="16384" width="9.140625" style="126"/>
  </cols>
  <sheetData>
    <row r="1" spans="1:14">
      <c r="C1" s="127">
        <v>40634</v>
      </c>
      <c r="D1" s="127">
        <f>EOMONTH(C1,0)+1</f>
        <v>40664</v>
      </c>
      <c r="E1" s="127">
        <f t="shared" ref="E1:N1" si="0">EOMONTH(D1,0)+1</f>
        <v>40695</v>
      </c>
      <c r="F1" s="127">
        <f t="shared" si="0"/>
        <v>40725</v>
      </c>
      <c r="G1" s="127">
        <f t="shared" si="0"/>
        <v>40756</v>
      </c>
      <c r="H1" s="127">
        <f t="shared" si="0"/>
        <v>40787</v>
      </c>
      <c r="I1" s="127">
        <f t="shared" si="0"/>
        <v>40817</v>
      </c>
      <c r="J1" s="127">
        <f t="shared" si="0"/>
        <v>40848</v>
      </c>
      <c r="K1" s="127">
        <f t="shared" si="0"/>
        <v>40878</v>
      </c>
      <c r="L1" s="127">
        <f t="shared" si="0"/>
        <v>40909</v>
      </c>
      <c r="M1" s="127">
        <f t="shared" si="0"/>
        <v>40940</v>
      </c>
      <c r="N1" s="127">
        <f t="shared" si="0"/>
        <v>40969</v>
      </c>
    </row>
    <row r="3" spans="1:14">
      <c r="A3" s="128" t="s">
        <v>95</v>
      </c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</row>
    <row r="4" spans="1:14">
      <c r="A4" s="131" t="s">
        <v>60</v>
      </c>
      <c r="B4" s="132" t="s">
        <v>96</v>
      </c>
      <c r="C4" s="133">
        <f t="shared" ref="C4:N4" si="1">C$37</f>
        <v>0</v>
      </c>
      <c r="D4" s="133">
        <f t="shared" si="1"/>
        <v>0</v>
      </c>
      <c r="E4" s="133">
        <f t="shared" si="1"/>
        <v>25633</v>
      </c>
      <c r="F4" s="133">
        <f t="shared" si="1"/>
        <v>4504</v>
      </c>
      <c r="G4" s="133">
        <f t="shared" si="1"/>
        <v>2443</v>
      </c>
      <c r="H4" s="133">
        <f t="shared" si="1"/>
        <v>-1987</v>
      </c>
      <c r="I4" s="133">
        <f t="shared" si="1"/>
        <v>-4759</v>
      </c>
      <c r="J4" s="133">
        <f t="shared" si="1"/>
        <v>-1733</v>
      </c>
      <c r="K4" s="133">
        <f t="shared" si="1"/>
        <v>-87857</v>
      </c>
      <c r="L4" s="133">
        <f t="shared" si="1"/>
        <v>-205821</v>
      </c>
      <c r="M4" s="133">
        <f t="shared" si="1"/>
        <v>-42557</v>
      </c>
      <c r="N4" s="133">
        <f t="shared" si="1"/>
        <v>-62982</v>
      </c>
    </row>
    <row r="5" spans="1:14">
      <c r="A5" s="131" t="s">
        <v>97</v>
      </c>
      <c r="B5" s="132" t="s">
        <v>98</v>
      </c>
      <c r="C5" s="134">
        <f t="shared" ref="C5:N5" si="2">C$53</f>
        <v>1904073.95129123</v>
      </c>
      <c r="D5" s="134">
        <f t="shared" si="2"/>
        <v>614285.94644023664</v>
      </c>
      <c r="E5" s="134">
        <f t="shared" si="2"/>
        <v>731490.94238384988</v>
      </c>
      <c r="F5" s="134">
        <f t="shared" si="2"/>
        <v>1187106.9371290281</v>
      </c>
      <c r="G5" s="134">
        <f t="shared" si="2"/>
        <v>1042951.9322975582</v>
      </c>
      <c r="H5" s="134">
        <f t="shared" si="2"/>
        <v>726505.93716689735</v>
      </c>
      <c r="I5" s="134">
        <f t="shared" si="2"/>
        <v>-26837897.056202553</v>
      </c>
      <c r="J5" s="134">
        <f t="shared" si="2"/>
        <v>-25833926.051247217</v>
      </c>
      <c r="K5" s="134">
        <f t="shared" si="2"/>
        <v>-22425890.057275441</v>
      </c>
      <c r="L5" s="134">
        <f t="shared" si="2"/>
        <v>-22769902.056560431</v>
      </c>
      <c r="M5" s="134">
        <f t="shared" si="2"/>
        <v>-25483008.055138472</v>
      </c>
      <c r="N5" s="134">
        <f t="shared" si="2"/>
        <v>-20037902.053747684</v>
      </c>
    </row>
    <row r="6" spans="1:14">
      <c r="A6" s="131"/>
      <c r="B6" s="132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</row>
    <row r="7" spans="1:14">
      <c r="A7" s="131"/>
      <c r="B7" s="132"/>
      <c r="C7" s="136">
        <f t="shared" ref="C7:N7" si="3">IF(C5=0,0,ROUND(C4/C5,5))</f>
        <v>0</v>
      </c>
      <c r="D7" s="136">
        <f t="shared" si="3"/>
        <v>0</v>
      </c>
      <c r="E7" s="136">
        <f t="shared" si="3"/>
        <v>3.5040000000000002E-2</v>
      </c>
      <c r="F7" s="136">
        <f t="shared" si="3"/>
        <v>3.79E-3</v>
      </c>
      <c r="G7" s="136">
        <f t="shared" si="3"/>
        <v>2.3400000000000001E-3</v>
      </c>
      <c r="H7" s="136">
        <f t="shared" si="3"/>
        <v>-2.7399999999999998E-3</v>
      </c>
      <c r="I7" s="136">
        <f t="shared" si="3"/>
        <v>1.8000000000000001E-4</v>
      </c>
      <c r="J7" s="136">
        <f t="shared" si="3"/>
        <v>6.9999999999999994E-5</v>
      </c>
      <c r="K7" s="136">
        <f t="shared" si="3"/>
        <v>3.9199999999999999E-3</v>
      </c>
      <c r="L7" s="136">
        <f t="shared" si="3"/>
        <v>9.0399999999999994E-3</v>
      </c>
      <c r="M7" s="136">
        <f t="shared" si="3"/>
        <v>1.67E-3</v>
      </c>
      <c r="N7" s="136">
        <f t="shared" si="3"/>
        <v>3.14E-3</v>
      </c>
    </row>
    <row r="8" spans="1:14">
      <c r="A8" s="131" t="s">
        <v>99</v>
      </c>
      <c r="B8" s="132"/>
      <c r="C8" s="136">
        <v>2.0580000000000001E-2</v>
      </c>
      <c r="D8" s="136">
        <v>2.0580000000000001E-2</v>
      </c>
      <c r="E8" s="136">
        <v>2.0580000000000001E-2</v>
      </c>
      <c r="F8" s="136">
        <v>2.215E-2</v>
      </c>
      <c r="G8" s="136">
        <v>2.215E-2</v>
      </c>
      <c r="H8" s="136">
        <v>2.215E-2</v>
      </c>
      <c r="I8" s="136">
        <v>2.215E-2</v>
      </c>
      <c r="J8" s="136">
        <v>2.215E-2</v>
      </c>
      <c r="K8" s="136">
        <v>2.215E-2</v>
      </c>
      <c r="L8" s="136">
        <v>2.215E-2</v>
      </c>
      <c r="M8" s="136">
        <v>2.215E-2</v>
      </c>
      <c r="N8" s="136">
        <v>2.215E-2</v>
      </c>
    </row>
    <row r="9" spans="1:14">
      <c r="A9" s="131" t="s">
        <v>100</v>
      </c>
      <c r="B9" s="132"/>
      <c r="C9" s="137">
        <f t="shared" ref="C9:N9" si="4">C7-C8</f>
        <v>-2.0580000000000001E-2</v>
      </c>
      <c r="D9" s="137">
        <f t="shared" si="4"/>
        <v>-2.0580000000000001E-2</v>
      </c>
      <c r="E9" s="137">
        <f t="shared" si="4"/>
        <v>1.4460000000000001E-2</v>
      </c>
      <c r="F9" s="137">
        <f t="shared" si="4"/>
        <v>-1.8360000000000001E-2</v>
      </c>
      <c r="G9" s="137">
        <f t="shared" si="4"/>
        <v>-1.9810000000000001E-2</v>
      </c>
      <c r="H9" s="137">
        <f t="shared" si="4"/>
        <v>-2.4889999999999999E-2</v>
      </c>
      <c r="I9" s="137">
        <f t="shared" si="4"/>
        <v>-2.197E-2</v>
      </c>
      <c r="J9" s="137">
        <f t="shared" si="4"/>
        <v>-2.2079999999999999E-2</v>
      </c>
      <c r="K9" s="137">
        <f t="shared" si="4"/>
        <v>-1.823E-2</v>
      </c>
      <c r="L9" s="137">
        <f t="shared" si="4"/>
        <v>-1.311E-2</v>
      </c>
      <c r="M9" s="137">
        <f t="shared" si="4"/>
        <v>-2.0479999999999998E-2</v>
      </c>
      <c r="N9" s="137">
        <f t="shared" si="4"/>
        <v>-1.9009999999999999E-2</v>
      </c>
    </row>
    <row r="10" spans="1:14">
      <c r="A10" s="138"/>
      <c r="B10" s="139"/>
      <c r="C10" s="140"/>
      <c r="D10" s="140"/>
      <c r="E10" s="140"/>
      <c r="F10" s="140"/>
      <c r="G10" s="140"/>
      <c r="H10" s="140"/>
      <c r="I10" s="141"/>
      <c r="J10" s="141"/>
      <c r="K10" s="141"/>
      <c r="L10" s="141"/>
      <c r="M10" s="141"/>
      <c r="N10" s="141"/>
    </row>
    <row r="11" spans="1:14">
      <c r="A11" s="128" t="s">
        <v>101</v>
      </c>
      <c r="B11" s="129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</row>
    <row r="12" spans="1:14">
      <c r="A12" s="131" t="s">
        <v>58</v>
      </c>
      <c r="B12" s="132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</row>
    <row r="13" spans="1:14">
      <c r="A13" s="131"/>
      <c r="B13" s="132" t="s">
        <v>102</v>
      </c>
      <c r="C13" s="134">
        <f>'Form A As Proposed'!C13-'Form A As Filed'!C13</f>
        <v>0</v>
      </c>
      <c r="D13" s="134">
        <f>'Form A As Proposed'!D13-'Form A As Filed'!D13</f>
        <v>0</v>
      </c>
      <c r="E13" s="134">
        <f>'Form A As Proposed'!E13-'Form A As Filed'!E13</f>
        <v>0</v>
      </c>
      <c r="F13" s="134">
        <f>'Form A As Proposed'!F13-'Form A As Filed'!F13</f>
        <v>0</v>
      </c>
      <c r="G13" s="134">
        <f>'Form A As Proposed'!G13-'Form A As Filed'!G13</f>
        <v>0</v>
      </c>
      <c r="H13" s="134">
        <f>'Form A As Proposed'!H13-'Form A As Filed'!H13</f>
        <v>0</v>
      </c>
      <c r="I13" s="134">
        <f>'Form A As Proposed'!I13-'Form A As Filed'!I13</f>
        <v>0</v>
      </c>
      <c r="J13" s="134">
        <f>'Form A As Proposed'!J13-'Form A As Filed'!J13</f>
        <v>0</v>
      </c>
      <c r="K13" s="134">
        <f>'Form A As Proposed'!K13-'Form A As Filed'!K13</f>
        <v>0</v>
      </c>
      <c r="L13" s="134">
        <f>'Form A As Proposed'!L13-'Form A As Filed'!L13</f>
        <v>0</v>
      </c>
      <c r="M13" s="134">
        <f>'Form A As Proposed'!M13-'Form A As Filed'!M13</f>
        <v>0</v>
      </c>
      <c r="N13" s="134">
        <f>'Form A As Proposed'!N13-'Form A As Filed'!N13</f>
        <v>0</v>
      </c>
    </row>
    <row r="14" spans="1:14">
      <c r="A14" s="131"/>
      <c r="B14" s="132" t="s">
        <v>103</v>
      </c>
      <c r="C14" s="134">
        <f>'Form A As Proposed'!C14-'Form A As Filed'!C14</f>
        <v>0</v>
      </c>
      <c r="D14" s="134">
        <f>'Form A As Proposed'!D14-'Form A As Filed'!D14</f>
        <v>0</v>
      </c>
      <c r="E14" s="134">
        <f>'Form A As Proposed'!E14-'Form A As Filed'!E14</f>
        <v>0</v>
      </c>
      <c r="F14" s="134">
        <f>'Form A As Proposed'!F14-'Form A As Filed'!F14</f>
        <v>0</v>
      </c>
      <c r="G14" s="134">
        <f>'Form A As Proposed'!G14-'Form A As Filed'!G14</f>
        <v>0</v>
      </c>
      <c r="H14" s="134">
        <f>'Form A As Proposed'!H14-'Form A As Filed'!H14</f>
        <v>0</v>
      </c>
      <c r="I14" s="134">
        <f>'Form A As Proposed'!I14-'Form A As Filed'!I14</f>
        <v>0</v>
      </c>
      <c r="J14" s="134">
        <f>'Form A As Proposed'!J14-'Form A As Filed'!J14</f>
        <v>0</v>
      </c>
      <c r="K14" s="134">
        <f>'Form A As Proposed'!K14-'Form A As Filed'!K14</f>
        <v>0</v>
      </c>
      <c r="L14" s="134">
        <f>'Form A As Proposed'!L14-'Form A As Filed'!L14</f>
        <v>0</v>
      </c>
      <c r="M14" s="134">
        <f>'Form A As Proposed'!M14-'Form A As Filed'!M14</f>
        <v>0</v>
      </c>
      <c r="N14" s="134">
        <f>'Form A As Proposed'!N14-'Form A As Filed'!N14</f>
        <v>0</v>
      </c>
    </row>
    <row r="15" spans="1:14">
      <c r="A15" s="131"/>
      <c r="B15" s="132" t="s">
        <v>104</v>
      </c>
      <c r="C15" s="134">
        <f>'Form A As Proposed'!C15-'Form A As Filed'!C15</f>
        <v>0</v>
      </c>
      <c r="D15" s="134">
        <f>'Form A As Proposed'!D15-'Form A As Filed'!D15</f>
        <v>0</v>
      </c>
      <c r="E15" s="134">
        <f>'Form A As Proposed'!E15-'Form A As Filed'!E15</f>
        <v>0</v>
      </c>
      <c r="F15" s="134">
        <f>'Form A As Proposed'!F15-'Form A As Filed'!F15</f>
        <v>0</v>
      </c>
      <c r="G15" s="134">
        <f>'Form A As Proposed'!G15-'Form A As Filed'!G15</f>
        <v>0</v>
      </c>
      <c r="H15" s="134">
        <f>'Form A As Proposed'!H15-'Form A As Filed'!H15</f>
        <v>0</v>
      </c>
      <c r="I15" s="134">
        <f>'Form A As Proposed'!I15-'Form A As Filed'!I15</f>
        <v>0</v>
      </c>
      <c r="J15" s="134">
        <f>'Form A As Proposed'!J15-'Form A As Filed'!J15</f>
        <v>0</v>
      </c>
      <c r="K15" s="134">
        <f>'Form A As Proposed'!K15-'Form A As Filed'!K15</f>
        <v>0</v>
      </c>
      <c r="L15" s="134">
        <f>'Form A As Proposed'!L15-'Form A As Filed'!L15</f>
        <v>0</v>
      </c>
      <c r="M15" s="134">
        <f>'Form A As Proposed'!M15-'Form A As Filed'!M15</f>
        <v>0</v>
      </c>
      <c r="N15" s="134">
        <f>'Form A As Proposed'!N15-'Form A As Filed'!N15</f>
        <v>0</v>
      </c>
    </row>
    <row r="16" spans="1:14">
      <c r="A16" s="131"/>
      <c r="B16" s="132" t="s">
        <v>105</v>
      </c>
      <c r="C16" s="134">
        <f>'Form A As Proposed'!C16-'Form A As Filed'!C16</f>
        <v>0</v>
      </c>
      <c r="D16" s="134">
        <f>'Form A As Proposed'!D16-'Form A As Filed'!D16</f>
        <v>0</v>
      </c>
      <c r="E16" s="134">
        <f>'Form A As Proposed'!E16-'Form A As Filed'!E16</f>
        <v>0</v>
      </c>
      <c r="F16" s="134">
        <f>'Form A As Proposed'!F16-'Form A As Filed'!F16</f>
        <v>0</v>
      </c>
      <c r="G16" s="134">
        <f>'Form A As Proposed'!G16-'Form A As Filed'!G16</f>
        <v>0</v>
      </c>
      <c r="H16" s="134">
        <f>'Form A As Proposed'!H16-'Form A As Filed'!H16</f>
        <v>0</v>
      </c>
      <c r="I16" s="134">
        <f>'Form A As Proposed'!I16-'Form A As Filed'!I16</f>
        <v>0</v>
      </c>
      <c r="J16" s="134">
        <f>'Form A As Proposed'!J16-'Form A As Filed'!J16</f>
        <v>0</v>
      </c>
      <c r="K16" s="134">
        <f>'Form A As Proposed'!K16-'Form A As Filed'!K16</f>
        <v>0</v>
      </c>
      <c r="L16" s="134">
        <f>'Form A As Proposed'!L16-'Form A As Filed'!L16</f>
        <v>0</v>
      </c>
      <c r="M16" s="134">
        <f>'Form A As Proposed'!M16-'Form A As Filed'!M16</f>
        <v>0</v>
      </c>
      <c r="N16" s="134">
        <f>'Form A As Proposed'!N16-'Form A As Filed'!N16</f>
        <v>0</v>
      </c>
    </row>
    <row r="17" spans="1:14" ht="15">
      <c r="A17" s="131"/>
      <c r="B17" s="132" t="s">
        <v>106</v>
      </c>
      <c r="C17" s="142">
        <f>'Form A As Proposed'!C17-'Form A As Filed'!C17</f>
        <v>0</v>
      </c>
      <c r="D17" s="142">
        <f>'Form A As Proposed'!D17-'Form A As Filed'!D17</f>
        <v>0</v>
      </c>
      <c r="E17" s="142">
        <f>'Form A As Proposed'!E17-'Form A As Filed'!E17</f>
        <v>0</v>
      </c>
      <c r="F17" s="142">
        <f>'Form A As Proposed'!F17-'Form A As Filed'!F17</f>
        <v>0</v>
      </c>
      <c r="G17" s="142">
        <f>'Form A As Proposed'!G17-'Form A As Filed'!G17</f>
        <v>0</v>
      </c>
      <c r="H17" s="142">
        <f>'Form A As Proposed'!H17-'Form A As Filed'!H17</f>
        <v>0</v>
      </c>
      <c r="I17" s="142">
        <f>'Form A As Proposed'!I17-'Form A As Filed'!I17</f>
        <v>0</v>
      </c>
      <c r="J17" s="142">
        <f>'Form A As Proposed'!J17-'Form A As Filed'!J17</f>
        <v>0</v>
      </c>
      <c r="K17" s="142">
        <f>'Form A As Proposed'!K17-'Form A As Filed'!K17</f>
        <v>0</v>
      </c>
      <c r="L17" s="142">
        <f>'Form A As Proposed'!L17-'Form A As Filed'!L17</f>
        <v>0</v>
      </c>
      <c r="M17" s="142">
        <f>'Form A As Proposed'!M17-'Form A As Filed'!M17</f>
        <v>0</v>
      </c>
      <c r="N17" s="142">
        <f>'Form A As Proposed'!N17-'Form A As Filed'!N17</f>
        <v>0</v>
      </c>
    </row>
    <row r="18" spans="1:14">
      <c r="A18" s="131"/>
      <c r="B18" s="132" t="s">
        <v>107</v>
      </c>
      <c r="C18" s="134">
        <f>IF(C17+C22&gt;C16,SUM(C13:C16)-C17, SUM(C13:C15))</f>
        <v>0</v>
      </c>
      <c r="D18" s="134">
        <f t="shared" ref="D18:N18" si="5">IF(D17+D22&gt;D16,SUM(D13:D16)-D17, SUM(D13:D15))</f>
        <v>0</v>
      </c>
      <c r="E18" s="134">
        <f t="shared" si="5"/>
        <v>0</v>
      </c>
      <c r="F18" s="134">
        <f t="shared" si="5"/>
        <v>0</v>
      </c>
      <c r="G18" s="134">
        <f t="shared" si="5"/>
        <v>0</v>
      </c>
      <c r="H18" s="134">
        <f t="shared" si="5"/>
        <v>0</v>
      </c>
      <c r="I18" s="134">
        <f t="shared" si="5"/>
        <v>0</v>
      </c>
      <c r="J18" s="134">
        <f t="shared" si="5"/>
        <v>0</v>
      </c>
      <c r="K18" s="134">
        <f t="shared" si="5"/>
        <v>0</v>
      </c>
      <c r="L18" s="134">
        <f t="shared" si="5"/>
        <v>0</v>
      </c>
      <c r="M18" s="134">
        <f t="shared" si="5"/>
        <v>0</v>
      </c>
      <c r="N18" s="134">
        <f t="shared" si="5"/>
        <v>0</v>
      </c>
    </row>
    <row r="19" spans="1:14">
      <c r="A19" s="131"/>
      <c r="B19" s="132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</row>
    <row r="20" spans="1:14">
      <c r="A20" s="131" t="s">
        <v>37</v>
      </c>
      <c r="B20" s="132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</row>
    <row r="21" spans="1:14">
      <c r="A21" s="131"/>
      <c r="B21" s="132" t="s">
        <v>3</v>
      </c>
      <c r="C21" s="134">
        <f>'Form A As Proposed'!C21-'Form A As Filed'!C21</f>
        <v>0</v>
      </c>
      <c r="D21" s="134">
        <f>'Form A As Proposed'!D21-'Form A As Filed'!D21</f>
        <v>0</v>
      </c>
      <c r="E21" s="134">
        <f>'Form A As Proposed'!E21-'Form A As Filed'!E21</f>
        <v>0</v>
      </c>
      <c r="F21" s="134">
        <f>'Form A As Proposed'!F21-'Form A As Filed'!F21</f>
        <v>0</v>
      </c>
      <c r="G21" s="134">
        <f>'Form A As Proposed'!G21-'Form A As Filed'!G21</f>
        <v>0</v>
      </c>
      <c r="H21" s="134">
        <f>'Form A As Proposed'!H21-'Form A As Filed'!H21</f>
        <v>0</v>
      </c>
      <c r="I21" s="134">
        <f>'Form A As Proposed'!I21-'Form A As Filed'!I21</f>
        <v>0</v>
      </c>
      <c r="J21" s="134">
        <f>'Form A As Proposed'!J21-'Form A As Filed'!J21</f>
        <v>0</v>
      </c>
      <c r="K21" s="134">
        <f>'Form A As Proposed'!K21-'Form A As Filed'!K21</f>
        <v>0</v>
      </c>
      <c r="L21" s="134">
        <f>'Form A As Proposed'!L21-'Form A As Filed'!L21</f>
        <v>0</v>
      </c>
      <c r="M21" s="134">
        <f>'Form A As Proposed'!M21-'Form A As Filed'!M21</f>
        <v>0</v>
      </c>
      <c r="N21" s="134">
        <f>'Form A As Proposed'!N21-'Form A As Filed'!N21</f>
        <v>0</v>
      </c>
    </row>
    <row r="22" spans="1:14">
      <c r="A22" s="131"/>
      <c r="B22" s="132" t="s">
        <v>108</v>
      </c>
      <c r="C22" s="134">
        <f>'Form A As Proposed'!C22-'Form A As Filed'!C22</f>
        <v>0</v>
      </c>
      <c r="D22" s="134">
        <f>'Form A As Proposed'!D22-'Form A As Filed'!D22</f>
        <v>0</v>
      </c>
      <c r="E22" s="134">
        <f>'Form A As Proposed'!E22-'Form A As Filed'!E22</f>
        <v>0</v>
      </c>
      <c r="F22" s="134">
        <f>'Form A As Proposed'!F22-'Form A As Filed'!F22</f>
        <v>0</v>
      </c>
      <c r="G22" s="134">
        <f>'Form A As Proposed'!G22-'Form A As Filed'!G22</f>
        <v>0</v>
      </c>
      <c r="H22" s="134">
        <f>'Form A As Proposed'!H22-'Form A As Filed'!H22</f>
        <v>0</v>
      </c>
      <c r="I22" s="134">
        <f>'Form A As Proposed'!I22-'Form A As Filed'!I22</f>
        <v>0</v>
      </c>
      <c r="J22" s="134">
        <f>'Form A As Proposed'!J22-'Form A As Filed'!J22</f>
        <v>0</v>
      </c>
      <c r="K22" s="134">
        <f>'Form A As Proposed'!K22-'Form A As Filed'!K22</f>
        <v>0</v>
      </c>
      <c r="L22" s="134">
        <f>'Form A As Proposed'!L22-'Form A As Filed'!L22</f>
        <v>0</v>
      </c>
      <c r="M22" s="134">
        <f>'Form A As Proposed'!M22-'Form A As Filed'!M22</f>
        <v>0</v>
      </c>
      <c r="N22" s="134">
        <f>'Form A As Proposed'!N22-'Form A As Filed'!N22</f>
        <v>0</v>
      </c>
    </row>
    <row r="23" spans="1:14">
      <c r="A23" s="131"/>
      <c r="B23" s="132" t="s">
        <v>27</v>
      </c>
      <c r="C23" s="134">
        <f>'Form A As Proposed'!C23-'Form A As Filed'!C23</f>
        <v>0</v>
      </c>
      <c r="D23" s="134">
        <f>'Form A As Proposed'!D23-'Form A As Filed'!D23</f>
        <v>0</v>
      </c>
      <c r="E23" s="134">
        <f>'Form A As Proposed'!E23-'Form A As Filed'!E23</f>
        <v>0</v>
      </c>
      <c r="F23" s="134">
        <f>'Form A As Proposed'!F23-'Form A As Filed'!F23</f>
        <v>0</v>
      </c>
      <c r="G23" s="134">
        <f>'Form A As Proposed'!G23-'Form A As Filed'!G23</f>
        <v>0</v>
      </c>
      <c r="H23" s="134">
        <f>'Form A As Proposed'!H23-'Form A As Filed'!H23</f>
        <v>0</v>
      </c>
      <c r="I23" s="134">
        <f>'Form A As Proposed'!I23-'Form A As Filed'!I23</f>
        <v>0</v>
      </c>
      <c r="J23" s="134">
        <f>'Form A As Proposed'!J23-'Form A As Filed'!J23</f>
        <v>0</v>
      </c>
      <c r="K23" s="134">
        <f>'Form A As Proposed'!K23-'Form A As Filed'!K23</f>
        <v>0</v>
      </c>
      <c r="L23" s="134">
        <f>'Form A As Proposed'!L23-'Form A As Filed'!L23</f>
        <v>0</v>
      </c>
      <c r="M23" s="134">
        <f>'Form A As Proposed'!M23-'Form A As Filed'!M23</f>
        <v>0</v>
      </c>
      <c r="N23" s="134">
        <f>'Form A As Proposed'!N23-'Form A As Filed'!N23</f>
        <v>0</v>
      </c>
    </row>
    <row r="24" spans="1:14">
      <c r="A24" s="131"/>
      <c r="B24" s="143" t="s">
        <v>109</v>
      </c>
      <c r="C24" s="134">
        <f>'Form A As Proposed'!C24-'Form A As Filed'!C24</f>
        <v>0</v>
      </c>
      <c r="D24" s="134">
        <f>'Form A As Proposed'!D24-'Form A As Filed'!D24</f>
        <v>0</v>
      </c>
      <c r="E24" s="134">
        <f>'Form A As Proposed'!E24-'Form A As Filed'!E24</f>
        <v>0</v>
      </c>
      <c r="F24" s="134">
        <f>'Form A As Proposed'!F24-'Form A As Filed'!F24</f>
        <v>0</v>
      </c>
      <c r="G24" s="134">
        <f>'Form A As Proposed'!G24-'Form A As Filed'!G24</f>
        <v>0</v>
      </c>
      <c r="H24" s="134">
        <f>'Form A As Proposed'!H24-'Form A As Filed'!H24</f>
        <v>0</v>
      </c>
      <c r="I24" s="134">
        <f>'Form A As Proposed'!I24-'Form A As Filed'!I24</f>
        <v>0</v>
      </c>
      <c r="J24" s="134">
        <f>'Form A As Proposed'!J24-'Form A As Filed'!J24</f>
        <v>0</v>
      </c>
      <c r="K24" s="134">
        <f>'Form A As Proposed'!K24-'Form A As Filed'!K24</f>
        <v>0</v>
      </c>
      <c r="L24" s="134">
        <f>'Form A As Proposed'!L24-'Form A As Filed'!L24</f>
        <v>0</v>
      </c>
      <c r="M24" s="134">
        <f>'Form A As Proposed'!M24-'Form A As Filed'!M24</f>
        <v>0</v>
      </c>
      <c r="N24" s="134">
        <f>'Form A As Proposed'!N24-'Form A As Filed'!N24</f>
        <v>0</v>
      </c>
    </row>
    <row r="25" spans="1:14" ht="15">
      <c r="A25" s="131"/>
      <c r="B25" s="143" t="s">
        <v>113</v>
      </c>
      <c r="C25" s="142">
        <f>'Form A As Proposed'!C25-'Form A As Filed'!C25</f>
        <v>0</v>
      </c>
      <c r="D25" s="142">
        <f>'Form A As Proposed'!D25-'Form A As Filed'!D25</f>
        <v>0</v>
      </c>
      <c r="E25" s="142">
        <f>'Form A As Proposed'!E25-'Form A As Filed'!E25</f>
        <v>0</v>
      </c>
      <c r="F25" s="142">
        <f>'Form A As Proposed'!F25-'Form A As Filed'!F25</f>
        <v>0</v>
      </c>
      <c r="G25" s="142">
        <f>'Form A As Proposed'!G25-'Form A As Filed'!G25</f>
        <v>0</v>
      </c>
      <c r="H25" s="142">
        <f>'Form A As Proposed'!H25-'Form A As Filed'!H25</f>
        <v>0</v>
      </c>
      <c r="I25" s="142">
        <f>'Form A As Proposed'!I25-'Form A As Filed'!I25</f>
        <v>0</v>
      </c>
      <c r="J25" s="142">
        <f>'Form A As Proposed'!J25-'Form A As Filed'!J25</f>
        <v>0</v>
      </c>
      <c r="K25" s="142">
        <f>'Form A As Proposed'!K25-'Form A As Filed'!K25</f>
        <v>0</v>
      </c>
      <c r="L25" s="142">
        <f>'Form A As Proposed'!L25-'Form A As Filed'!L25</f>
        <v>0</v>
      </c>
      <c r="M25" s="142">
        <f>'Form A As Proposed'!M25-'Form A As Filed'!M25</f>
        <v>0</v>
      </c>
      <c r="N25" s="142">
        <f>'Form A As Proposed'!N25-'Form A As Filed'!N25</f>
        <v>0</v>
      </c>
    </row>
    <row r="26" spans="1:14">
      <c r="A26" s="131"/>
      <c r="B26" s="132" t="s">
        <v>110</v>
      </c>
      <c r="C26" s="134">
        <f t="shared" ref="C26" si="6">IF(C17+C22&gt;C16,SUM(C21,-C22,-C23,C24,C25),SUM(C21,-C23,C24,C25))</f>
        <v>0</v>
      </c>
      <c r="D26" s="134">
        <f t="shared" ref="D26:N26" si="7">IF(D17+D22&gt;D16,SUM(D21,-D22,-D23,D24,D25),SUM(D21,-D23,D24,D25))</f>
        <v>0</v>
      </c>
      <c r="E26" s="134">
        <f t="shared" si="7"/>
        <v>0</v>
      </c>
      <c r="F26" s="134">
        <f t="shared" si="7"/>
        <v>0</v>
      </c>
      <c r="G26" s="134">
        <f t="shared" si="7"/>
        <v>0</v>
      </c>
      <c r="H26" s="134">
        <f t="shared" si="7"/>
        <v>0</v>
      </c>
      <c r="I26" s="134">
        <f t="shared" si="7"/>
        <v>0</v>
      </c>
      <c r="J26" s="134">
        <f t="shared" si="7"/>
        <v>0</v>
      </c>
      <c r="K26" s="134">
        <f t="shared" si="7"/>
        <v>0</v>
      </c>
      <c r="L26" s="134">
        <f t="shared" si="7"/>
        <v>0</v>
      </c>
      <c r="M26" s="134">
        <f t="shared" si="7"/>
        <v>0</v>
      </c>
      <c r="N26" s="134">
        <f t="shared" si="7"/>
        <v>0</v>
      </c>
    </row>
    <row r="27" spans="1:14">
      <c r="A27" s="131"/>
      <c r="B27" s="132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</row>
    <row r="28" spans="1:14">
      <c r="A28" s="131" t="s">
        <v>111</v>
      </c>
      <c r="B28" s="132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</row>
    <row r="29" spans="1:14">
      <c r="A29" s="131"/>
      <c r="B29" s="132" t="s">
        <v>112</v>
      </c>
      <c r="C29" s="134">
        <f>'Form A As Proposed'!C29-'Form A As Filed'!C29</f>
        <v>0</v>
      </c>
      <c r="D29" s="134">
        <f>'Form A As Proposed'!D29-'Form A As Filed'!D29</f>
        <v>0</v>
      </c>
      <c r="E29" s="134">
        <f>'Form A As Proposed'!E29-'Form A As Filed'!E29</f>
        <v>0</v>
      </c>
      <c r="F29" s="134">
        <f>'Form A As Proposed'!F29-'Form A As Filed'!F29</f>
        <v>0</v>
      </c>
      <c r="G29" s="134">
        <f>'Form A As Proposed'!G29-'Form A As Filed'!G29</f>
        <v>0</v>
      </c>
      <c r="H29" s="134">
        <f>'Form A As Proposed'!H29-'Form A As Filed'!H29</f>
        <v>0</v>
      </c>
      <c r="I29" s="134">
        <f>'Form A As Proposed'!I29-'Form A As Filed'!I29</f>
        <v>0</v>
      </c>
      <c r="J29" s="134">
        <f>'Form A As Proposed'!J29-'Form A As Filed'!J29</f>
        <v>0</v>
      </c>
      <c r="K29" s="134">
        <f>'Form A As Proposed'!K29-'Form A As Filed'!K29</f>
        <v>0</v>
      </c>
      <c r="L29" s="134">
        <f>'Form A As Proposed'!L29-'Form A As Filed'!L29</f>
        <v>0</v>
      </c>
      <c r="M29" s="134">
        <f>'Form A As Proposed'!M29-'Form A As Filed'!M29</f>
        <v>0</v>
      </c>
      <c r="N29" s="134">
        <f>'Form A As Proposed'!N29-'Form A As Filed'!N29</f>
        <v>0</v>
      </c>
    </row>
    <row r="30" spans="1:14">
      <c r="A30" s="131"/>
      <c r="B30" s="143" t="s">
        <v>109</v>
      </c>
      <c r="C30" s="134">
        <f>'Form A As Proposed'!C30-'Form A As Filed'!C30</f>
        <v>0</v>
      </c>
      <c r="D30" s="134">
        <f>'Form A As Proposed'!D30-'Form A As Filed'!D30</f>
        <v>0</v>
      </c>
      <c r="E30" s="134">
        <f>'Form A As Proposed'!E30-'Form A As Filed'!E30</f>
        <v>0</v>
      </c>
      <c r="F30" s="134">
        <f>'Form A As Proposed'!F30-'Form A As Filed'!F30</f>
        <v>0</v>
      </c>
      <c r="G30" s="134">
        <f>'Form A As Proposed'!G30-'Form A As Filed'!G30</f>
        <v>0</v>
      </c>
      <c r="H30" s="134">
        <f>'Form A As Proposed'!H30-'Form A As Filed'!H30</f>
        <v>0</v>
      </c>
      <c r="I30" s="134">
        <f>'Form A As Proposed'!I30-'Form A As Filed'!I30</f>
        <v>0</v>
      </c>
      <c r="J30" s="134">
        <f>'Form A As Proposed'!J30-'Form A As Filed'!J30</f>
        <v>0</v>
      </c>
      <c r="K30" s="134">
        <f>'Form A As Proposed'!K30-'Form A As Filed'!K30</f>
        <v>0</v>
      </c>
      <c r="L30" s="134">
        <f>'Form A As Proposed'!L30-'Form A As Filed'!L30</f>
        <v>0</v>
      </c>
      <c r="M30" s="134">
        <f>'Form A As Proposed'!M30-'Form A As Filed'!M30</f>
        <v>0</v>
      </c>
      <c r="N30" s="134">
        <f>'Form A As Proposed'!N30-'Form A As Filed'!N30</f>
        <v>0</v>
      </c>
    </row>
    <row r="31" spans="1:14">
      <c r="A31" s="131"/>
      <c r="B31" s="143" t="s">
        <v>113</v>
      </c>
      <c r="C31" s="134">
        <f>'Form A As Proposed'!C31-'Form A As Filed'!C31</f>
        <v>0</v>
      </c>
      <c r="D31" s="134">
        <f>'Form A As Proposed'!D31-'Form A As Filed'!D31</f>
        <v>0</v>
      </c>
      <c r="E31" s="134">
        <f>'Form A As Proposed'!E31-'Form A As Filed'!E31</f>
        <v>0</v>
      </c>
      <c r="F31" s="134">
        <f>'Form A As Proposed'!F31-'Form A As Filed'!F31</f>
        <v>0</v>
      </c>
      <c r="G31" s="134">
        <f>'Form A As Proposed'!G31-'Form A As Filed'!G31</f>
        <v>0</v>
      </c>
      <c r="H31" s="134">
        <f>'Form A As Proposed'!H31-'Form A As Filed'!H31</f>
        <v>0</v>
      </c>
      <c r="I31" s="134">
        <f>'Form A As Proposed'!I31-'Form A As Filed'!I31</f>
        <v>0</v>
      </c>
      <c r="J31" s="134">
        <f>'Form A As Proposed'!J31-'Form A As Filed'!J31</f>
        <v>0</v>
      </c>
      <c r="K31" s="134">
        <f>'Form A As Proposed'!K31-'Form A As Filed'!K31</f>
        <v>0</v>
      </c>
      <c r="L31" s="134">
        <f>'Form A As Proposed'!L31-'Form A As Filed'!L31</f>
        <v>0</v>
      </c>
      <c r="M31" s="134">
        <f>'Form A As Proposed'!M31-'Form A As Filed'!M31</f>
        <v>0</v>
      </c>
      <c r="N31" s="134">
        <f>'Form A As Proposed'!N31-'Form A As Filed'!N31</f>
        <v>0</v>
      </c>
    </row>
    <row r="32" spans="1:14" ht="15">
      <c r="A32" s="131"/>
      <c r="B32" s="132" t="s">
        <v>114</v>
      </c>
      <c r="C32" s="142">
        <f>'Form A As Proposed'!C32-'Form A As Filed'!C32</f>
        <v>0</v>
      </c>
      <c r="D32" s="142">
        <f>'Form A As Proposed'!D32-'Form A As Filed'!D32</f>
        <v>0</v>
      </c>
      <c r="E32" s="142">
        <f>'Form A As Proposed'!E32-'Form A As Filed'!E32</f>
        <v>0</v>
      </c>
      <c r="F32" s="142">
        <f>'Form A As Proposed'!F32-'Form A As Filed'!F32</f>
        <v>0</v>
      </c>
      <c r="G32" s="142">
        <f>'Form A As Proposed'!G32-'Form A As Filed'!G32</f>
        <v>0</v>
      </c>
      <c r="H32" s="142">
        <f>'Form A As Proposed'!H32-'Form A As Filed'!H32</f>
        <v>0</v>
      </c>
      <c r="I32" s="142">
        <f>'Form A As Proposed'!I32-'Form A As Filed'!I32</f>
        <v>0</v>
      </c>
      <c r="J32" s="142">
        <f>'Form A As Proposed'!J32-'Form A As Filed'!J32</f>
        <v>0</v>
      </c>
      <c r="K32" s="142">
        <f>'Form A As Proposed'!K32-'Form A As Filed'!K32</f>
        <v>0</v>
      </c>
      <c r="L32" s="142">
        <f>'Form A As Proposed'!L32-'Form A As Filed'!L32</f>
        <v>0</v>
      </c>
      <c r="M32" s="142">
        <f>'Form A As Proposed'!M32-'Form A As Filed'!M32</f>
        <v>0</v>
      </c>
      <c r="N32" s="142">
        <f>'Form A As Proposed'!N32-'Form A As Filed'!N32</f>
        <v>0</v>
      </c>
    </row>
    <row r="33" spans="1:14">
      <c r="A33" s="131"/>
      <c r="B33" s="132" t="s">
        <v>110</v>
      </c>
      <c r="C33" s="134">
        <f t="shared" ref="C33" si="8">SUM(C29:C32)</f>
        <v>0</v>
      </c>
      <c r="D33" s="134">
        <f t="shared" ref="D33:N33" si="9">SUM(D29:D32)</f>
        <v>0</v>
      </c>
      <c r="E33" s="134">
        <f t="shared" si="9"/>
        <v>0</v>
      </c>
      <c r="F33" s="134">
        <f t="shared" si="9"/>
        <v>0</v>
      </c>
      <c r="G33" s="134">
        <f t="shared" si="9"/>
        <v>0</v>
      </c>
      <c r="H33" s="134">
        <f t="shared" si="9"/>
        <v>0</v>
      </c>
      <c r="I33" s="134">
        <f t="shared" si="9"/>
        <v>0</v>
      </c>
      <c r="J33" s="134">
        <f t="shared" si="9"/>
        <v>0</v>
      </c>
      <c r="K33" s="134">
        <f t="shared" si="9"/>
        <v>0</v>
      </c>
      <c r="L33" s="134">
        <f t="shared" si="9"/>
        <v>0</v>
      </c>
      <c r="M33" s="134">
        <f t="shared" si="9"/>
        <v>0</v>
      </c>
      <c r="N33" s="134">
        <f t="shared" si="9"/>
        <v>0</v>
      </c>
    </row>
    <row r="34" spans="1:14">
      <c r="A34" s="131"/>
      <c r="B34" s="132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</row>
    <row r="35" spans="1:14">
      <c r="A35" s="144" t="s">
        <v>115</v>
      </c>
      <c r="B35" s="132"/>
      <c r="C35" s="145">
        <f t="shared" ref="C35:N35" si="10">C$67</f>
        <v>0</v>
      </c>
      <c r="D35" s="145">
        <f t="shared" si="10"/>
        <v>0</v>
      </c>
      <c r="E35" s="145">
        <f t="shared" si="10"/>
        <v>-25633</v>
      </c>
      <c r="F35" s="145">
        <f t="shared" si="10"/>
        <v>-4504</v>
      </c>
      <c r="G35" s="145">
        <f t="shared" si="10"/>
        <v>-2443</v>
      </c>
      <c r="H35" s="145">
        <f t="shared" si="10"/>
        <v>1987</v>
      </c>
      <c r="I35" s="145">
        <f t="shared" si="10"/>
        <v>4759</v>
      </c>
      <c r="J35" s="145">
        <f t="shared" si="10"/>
        <v>1733</v>
      </c>
      <c r="K35" s="145">
        <f t="shared" si="10"/>
        <v>87857</v>
      </c>
      <c r="L35" s="145">
        <f t="shared" si="10"/>
        <v>205821</v>
      </c>
      <c r="M35" s="145">
        <f t="shared" si="10"/>
        <v>42557</v>
      </c>
      <c r="N35" s="145">
        <f t="shared" si="10"/>
        <v>62982</v>
      </c>
    </row>
    <row r="36" spans="1:14">
      <c r="A36" s="131" t="s">
        <v>116</v>
      </c>
      <c r="B36" s="132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</row>
    <row r="37" spans="1:14">
      <c r="A37" s="131"/>
      <c r="B37" s="132" t="s">
        <v>117</v>
      </c>
      <c r="C37" s="133">
        <f t="shared" ref="C37:N37" si="11">C18+C26-C33-C35</f>
        <v>0</v>
      </c>
      <c r="D37" s="133">
        <f t="shared" si="11"/>
        <v>0</v>
      </c>
      <c r="E37" s="133">
        <f t="shared" si="11"/>
        <v>25633</v>
      </c>
      <c r="F37" s="133">
        <f t="shared" si="11"/>
        <v>4504</v>
      </c>
      <c r="G37" s="133">
        <f t="shared" si="11"/>
        <v>2443</v>
      </c>
      <c r="H37" s="133">
        <f t="shared" si="11"/>
        <v>-1987</v>
      </c>
      <c r="I37" s="133">
        <f t="shared" si="11"/>
        <v>-4759</v>
      </c>
      <c r="J37" s="133">
        <f t="shared" si="11"/>
        <v>-1733</v>
      </c>
      <c r="K37" s="133">
        <f t="shared" si="11"/>
        <v>-87857</v>
      </c>
      <c r="L37" s="133">
        <f t="shared" si="11"/>
        <v>-205821</v>
      </c>
      <c r="M37" s="133">
        <f t="shared" si="11"/>
        <v>-42557</v>
      </c>
      <c r="N37" s="133">
        <f t="shared" si="11"/>
        <v>-62982</v>
      </c>
    </row>
    <row r="38" spans="1:14">
      <c r="A38" s="138"/>
      <c r="B38" s="139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</row>
    <row r="39" spans="1:14">
      <c r="A39" s="128" t="s">
        <v>118</v>
      </c>
      <c r="B39" s="129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</row>
    <row r="40" spans="1:14">
      <c r="A40" s="131"/>
      <c r="B40" s="132" t="s">
        <v>119</v>
      </c>
      <c r="C40" s="134">
        <f>'Form A As Proposed'!C40-'Form A As Filed'!C40</f>
        <v>0</v>
      </c>
      <c r="D40" s="134">
        <f>'Form A As Proposed'!D40-'Form A As Filed'!D40</f>
        <v>0</v>
      </c>
      <c r="E40" s="134">
        <f>'Form A As Proposed'!E40-'Form A As Filed'!E40</f>
        <v>0</v>
      </c>
      <c r="F40" s="134">
        <f>'Form A As Proposed'!F40-'Form A As Filed'!F40</f>
        <v>0</v>
      </c>
      <c r="G40" s="134">
        <f>'Form A As Proposed'!G40-'Form A As Filed'!G40</f>
        <v>0</v>
      </c>
      <c r="H40" s="134">
        <f>'Form A As Proposed'!H40-'Form A As Filed'!H40</f>
        <v>0</v>
      </c>
      <c r="I40" s="134">
        <f>'Form A As Proposed'!I40-'Form A As Filed'!I40</f>
        <v>0</v>
      </c>
      <c r="J40" s="134">
        <f>'Form A As Proposed'!J40-'Form A As Filed'!J40</f>
        <v>0</v>
      </c>
      <c r="K40" s="134">
        <f>'Form A As Proposed'!K40-'Form A As Filed'!K40</f>
        <v>0</v>
      </c>
      <c r="L40" s="134">
        <f>'Form A As Proposed'!L40-'Form A As Filed'!L40</f>
        <v>0</v>
      </c>
      <c r="M40" s="134">
        <f>'Form A As Proposed'!M40-'Form A As Filed'!M40</f>
        <v>0</v>
      </c>
      <c r="N40" s="134">
        <f>'Form A As Proposed'!N40-'Form A As Filed'!N40</f>
        <v>0</v>
      </c>
    </row>
    <row r="41" spans="1:14">
      <c r="A41" s="131"/>
      <c r="B41" s="132" t="s">
        <v>120</v>
      </c>
      <c r="C41" s="134">
        <f>'Form A As Proposed'!C41-'Form A As Filed'!C41</f>
        <v>2001549</v>
      </c>
      <c r="D41" s="134">
        <f>'Form A As Proposed'!D41-'Form A As Filed'!D41</f>
        <v>649076</v>
      </c>
      <c r="E41" s="134">
        <f>'Form A As Proposed'!E41-'Form A As Filed'!E41</f>
        <v>776200</v>
      </c>
      <c r="F41" s="134">
        <f>'Form A As Proposed'!F41-'Form A As Filed'!F41</f>
        <v>1266788</v>
      </c>
      <c r="G41" s="134">
        <f>'Form A As Proposed'!G41-'Form A As Filed'!G41</f>
        <v>1118687</v>
      </c>
      <c r="H41" s="134">
        <f>'Form A As Proposed'!H41-'Form A As Filed'!H41</f>
        <v>775188</v>
      </c>
      <c r="I41" s="134">
        <f>'Form A As Proposed'!I41-'Form A As Filed'!I41</f>
        <v>-28436000</v>
      </c>
      <c r="J41" s="134">
        <f>'Form A As Proposed'!J41-'Form A As Filed'!J41</f>
        <v>-27228000</v>
      </c>
      <c r="K41" s="134">
        <f>'Form A As Proposed'!K41-'Form A As Filed'!K41</f>
        <v>-23789000</v>
      </c>
      <c r="L41" s="134">
        <f>'Form A As Proposed'!L41-'Form A As Filed'!L41</f>
        <v>-24136000</v>
      </c>
      <c r="M41" s="134">
        <f>'Form A As Proposed'!M41-'Form A As Filed'!M41</f>
        <v>-26969000</v>
      </c>
      <c r="N41" s="134">
        <f>'Form A As Proposed'!N41-'Form A As Filed'!N41</f>
        <v>-21175000</v>
      </c>
    </row>
    <row r="42" spans="1:14">
      <c r="A42" s="131"/>
      <c r="B42" s="143" t="s">
        <v>109</v>
      </c>
      <c r="C42" s="146">
        <f>'Form A As Proposed'!C42-'Form A As Filed'!C42</f>
        <v>0</v>
      </c>
      <c r="D42" s="146">
        <f>'Form A As Proposed'!D42-'Form A As Filed'!D42</f>
        <v>0</v>
      </c>
      <c r="E42" s="146">
        <f>'Form A As Proposed'!E42-'Form A As Filed'!E42</f>
        <v>0</v>
      </c>
      <c r="F42" s="146">
        <f>'Form A As Proposed'!F42-'Form A As Filed'!F42</f>
        <v>0</v>
      </c>
      <c r="G42" s="146">
        <f>'Form A As Proposed'!G42-'Form A As Filed'!G42</f>
        <v>0</v>
      </c>
      <c r="H42" s="146">
        <f>'Form A As Proposed'!H42-'Form A As Filed'!H42</f>
        <v>0</v>
      </c>
      <c r="I42" s="146">
        <f>'Form A As Proposed'!I42-'Form A As Filed'!I42</f>
        <v>0</v>
      </c>
      <c r="J42" s="146">
        <f>'Form A As Proposed'!J42-'Form A As Filed'!J42</f>
        <v>0</v>
      </c>
      <c r="K42" s="146">
        <f>'Form A As Proposed'!K42-'Form A As Filed'!K42</f>
        <v>0</v>
      </c>
      <c r="L42" s="146">
        <f>'Form A As Proposed'!L42-'Form A As Filed'!L42</f>
        <v>0</v>
      </c>
      <c r="M42" s="146">
        <f>'Form A As Proposed'!M42-'Form A As Filed'!M42</f>
        <v>0</v>
      </c>
      <c r="N42" s="146">
        <f>'Form A As Proposed'!N42-'Form A As Filed'!N42</f>
        <v>0</v>
      </c>
    </row>
    <row r="43" spans="1:14" ht="15">
      <c r="A43" s="131"/>
      <c r="B43" s="143" t="s">
        <v>113</v>
      </c>
      <c r="C43" s="147">
        <f>'Form A As Proposed'!C43-'Form A As Filed'!C43</f>
        <v>0</v>
      </c>
      <c r="D43" s="147">
        <f>'Form A As Proposed'!D43-'Form A As Filed'!D43</f>
        <v>0</v>
      </c>
      <c r="E43" s="147">
        <f>'Form A As Proposed'!E43-'Form A As Filed'!E43</f>
        <v>0</v>
      </c>
      <c r="F43" s="147">
        <f>'Form A As Proposed'!F43-'Form A As Filed'!F43</f>
        <v>0</v>
      </c>
      <c r="G43" s="147">
        <f>'Form A As Proposed'!G43-'Form A As Filed'!G43</f>
        <v>0</v>
      </c>
      <c r="H43" s="147">
        <f>'Form A As Proposed'!H43-'Form A As Filed'!H43</f>
        <v>0</v>
      </c>
      <c r="I43" s="147">
        <f>'Form A As Proposed'!I43-'Form A As Filed'!I43</f>
        <v>0</v>
      </c>
      <c r="J43" s="147">
        <f>'Form A As Proposed'!J43-'Form A As Filed'!J43</f>
        <v>0</v>
      </c>
      <c r="K43" s="147">
        <f>'Form A As Proposed'!K43-'Form A As Filed'!K43</f>
        <v>0</v>
      </c>
      <c r="L43" s="147">
        <f>'Form A As Proposed'!L43-'Form A As Filed'!L43</f>
        <v>0</v>
      </c>
      <c r="M43" s="147">
        <f>'Form A As Proposed'!M43-'Form A As Filed'!M43</f>
        <v>0</v>
      </c>
      <c r="N43" s="147">
        <f>'Form A As Proposed'!N43-'Form A As Filed'!N43</f>
        <v>0</v>
      </c>
    </row>
    <row r="44" spans="1:14">
      <c r="A44" s="131"/>
      <c r="B44" s="132" t="s">
        <v>110</v>
      </c>
      <c r="C44" s="134">
        <f t="shared" ref="C44" si="12">SUM(C40:C43)</f>
        <v>2001549</v>
      </c>
      <c r="D44" s="134">
        <f t="shared" ref="D44:N44" si="13">SUM(D40:D43)</f>
        <v>649076</v>
      </c>
      <c r="E44" s="134">
        <f t="shared" si="13"/>
        <v>776200</v>
      </c>
      <c r="F44" s="134">
        <f t="shared" si="13"/>
        <v>1266788</v>
      </c>
      <c r="G44" s="134">
        <f t="shared" si="13"/>
        <v>1118687</v>
      </c>
      <c r="H44" s="134">
        <f t="shared" si="13"/>
        <v>775188</v>
      </c>
      <c r="I44" s="134">
        <f t="shared" si="13"/>
        <v>-28436000</v>
      </c>
      <c r="J44" s="134">
        <f t="shared" si="13"/>
        <v>-27228000</v>
      </c>
      <c r="K44" s="134">
        <f t="shared" si="13"/>
        <v>-23789000</v>
      </c>
      <c r="L44" s="134">
        <f t="shared" si="13"/>
        <v>-24136000</v>
      </c>
      <c r="M44" s="134">
        <f t="shared" si="13"/>
        <v>-26969000</v>
      </c>
      <c r="N44" s="134">
        <f t="shared" si="13"/>
        <v>-21175000</v>
      </c>
    </row>
    <row r="45" spans="1:14">
      <c r="A45" s="131"/>
      <c r="B45" s="132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</row>
    <row r="46" spans="1:14">
      <c r="A46" s="131"/>
      <c r="B46" s="132" t="s">
        <v>111</v>
      </c>
      <c r="C46" s="134">
        <f>'Form A As Proposed'!C46-'Form A As Filed'!C46</f>
        <v>0</v>
      </c>
      <c r="D46" s="134">
        <f>'Form A As Proposed'!D46-'Form A As Filed'!D46</f>
        <v>0</v>
      </c>
      <c r="E46" s="134">
        <f>'Form A As Proposed'!E46-'Form A As Filed'!E46</f>
        <v>0</v>
      </c>
      <c r="F46" s="134">
        <f>'Form A As Proposed'!F46-'Form A As Filed'!F46</f>
        <v>0</v>
      </c>
      <c r="G46" s="134">
        <f>'Form A As Proposed'!G46-'Form A As Filed'!G46</f>
        <v>0</v>
      </c>
      <c r="H46" s="134">
        <f>'Form A As Proposed'!H46-'Form A As Filed'!H46</f>
        <v>0</v>
      </c>
      <c r="I46" s="134">
        <f>'Form A As Proposed'!I46-'Form A As Filed'!I46</f>
        <v>0</v>
      </c>
      <c r="J46" s="134">
        <f>'Form A As Proposed'!J46-'Form A As Filed'!J46</f>
        <v>0</v>
      </c>
      <c r="K46" s="134">
        <f>'Form A As Proposed'!K46-'Form A As Filed'!K46</f>
        <v>0</v>
      </c>
      <c r="L46" s="134">
        <f>'Form A As Proposed'!L46-'Form A As Filed'!L46</f>
        <v>0</v>
      </c>
      <c r="M46" s="134">
        <f>'Form A As Proposed'!M46-'Form A As Filed'!M46</f>
        <v>0</v>
      </c>
      <c r="N46" s="134">
        <f>'Form A As Proposed'!N46-'Form A As Filed'!N46</f>
        <v>0</v>
      </c>
    </row>
    <row r="47" spans="1:14">
      <c r="A47" s="131"/>
      <c r="B47" s="143" t="s">
        <v>109</v>
      </c>
      <c r="C47" s="134">
        <f>'Form A As Proposed'!C47-'Form A As Filed'!C47</f>
        <v>0</v>
      </c>
      <c r="D47" s="134">
        <f>'Form A As Proposed'!D47-'Form A As Filed'!D47</f>
        <v>0</v>
      </c>
      <c r="E47" s="134">
        <f>'Form A As Proposed'!E47-'Form A As Filed'!E47</f>
        <v>0</v>
      </c>
      <c r="F47" s="134">
        <f>'Form A As Proposed'!F47-'Form A As Filed'!F47</f>
        <v>0</v>
      </c>
      <c r="G47" s="134">
        <f>'Form A As Proposed'!G47-'Form A As Filed'!G47</f>
        <v>0</v>
      </c>
      <c r="H47" s="134">
        <f>'Form A As Proposed'!H47-'Form A As Filed'!H47</f>
        <v>0</v>
      </c>
      <c r="I47" s="134">
        <f>'Form A As Proposed'!I47-'Form A As Filed'!I47</f>
        <v>0</v>
      </c>
      <c r="J47" s="134">
        <f>'Form A As Proposed'!J47-'Form A As Filed'!J47</f>
        <v>0</v>
      </c>
      <c r="K47" s="134">
        <f>'Form A As Proposed'!K47-'Form A As Filed'!K47</f>
        <v>0</v>
      </c>
      <c r="L47" s="134">
        <f>'Form A As Proposed'!L47-'Form A As Filed'!L47</f>
        <v>0</v>
      </c>
      <c r="M47" s="134">
        <f>'Form A As Proposed'!M47-'Form A As Filed'!M47</f>
        <v>0</v>
      </c>
      <c r="N47" s="134">
        <f>'Form A As Proposed'!N47-'Form A As Filed'!N47</f>
        <v>0</v>
      </c>
    </row>
    <row r="48" spans="1:14">
      <c r="A48" s="131"/>
      <c r="B48" s="143" t="s">
        <v>113</v>
      </c>
      <c r="C48" s="134">
        <f>'Form A As Proposed'!C48-'Form A As Filed'!C48</f>
        <v>0</v>
      </c>
      <c r="D48" s="134">
        <f>'Form A As Proposed'!D48-'Form A As Filed'!D48</f>
        <v>0</v>
      </c>
      <c r="E48" s="134">
        <f>'Form A As Proposed'!E48-'Form A As Filed'!E48</f>
        <v>0</v>
      </c>
      <c r="F48" s="134">
        <f>'Form A As Proposed'!F48-'Form A As Filed'!F48</f>
        <v>0</v>
      </c>
      <c r="G48" s="134">
        <f>'Form A As Proposed'!G48-'Form A As Filed'!G48</f>
        <v>0</v>
      </c>
      <c r="H48" s="134">
        <f>'Form A As Proposed'!H48-'Form A As Filed'!H48</f>
        <v>0</v>
      </c>
      <c r="I48" s="134">
        <f>'Form A As Proposed'!I48-'Form A As Filed'!I48</f>
        <v>0</v>
      </c>
      <c r="J48" s="134">
        <f>'Form A As Proposed'!J48-'Form A As Filed'!J48</f>
        <v>0</v>
      </c>
      <c r="K48" s="134">
        <f>'Form A As Proposed'!K48-'Form A As Filed'!K48</f>
        <v>0</v>
      </c>
      <c r="L48" s="134">
        <f>'Form A As Proposed'!L48-'Form A As Filed'!L48</f>
        <v>0</v>
      </c>
      <c r="M48" s="134">
        <f>'Form A As Proposed'!M48-'Form A As Filed'!M48</f>
        <v>0</v>
      </c>
      <c r="N48" s="134">
        <f>'Form A As Proposed'!N48-'Form A As Filed'!N48</f>
        <v>0</v>
      </c>
    </row>
    <row r="49" spans="1:16">
      <c r="A49" s="131"/>
      <c r="B49" s="152" t="s">
        <v>134</v>
      </c>
      <c r="C49" s="153">
        <f>VLOOKUP(C$1,'As Filed'!$A$8:$BV$35,'As Filed'!$BV$7,FALSE)</f>
        <v>4.8708770057787752E-2</v>
      </c>
      <c r="D49" s="153">
        <f>VLOOKUP(D$1,'As Filed'!$A$8:$BV$35,'As Filed'!$BV$7,FALSE)</f>
        <v>5.3559763357220888E-2</v>
      </c>
      <c r="E49" s="153">
        <f>VLOOKUP(E$1,'As Filed'!$A$8:$BV$35,'As Filed'!$BV$7,FALSE)</f>
        <v>5.761615009729789E-2</v>
      </c>
      <c r="F49" s="153">
        <f>VLOOKUP(F$1,'As Filed'!$A$8:$BV$35,'As Filed'!$BV$7,FALSE)</f>
        <v>6.2870971940904158E-2</v>
      </c>
      <c r="G49" s="153">
        <f>VLOOKUP(G$1,'As Filed'!$A$8:$BV$35,'As Filed'!$BV$7,FALSE)</f>
        <v>6.7702441872549091E-2</v>
      </c>
      <c r="H49" s="153">
        <f>VLOOKUP(H$1,'As Filed'!$A$8:$BV$35,'As Filed'!$BV$7,FALSE)</f>
        <v>6.283310264672487E-2</v>
      </c>
      <c r="I49" s="153">
        <f>VLOOKUP(I$1,'As Filed'!$A$8:$BV$35,'As Filed'!$BV$7,FALSE)</f>
        <v>5.62025519211782E-2</v>
      </c>
      <c r="J49" s="153">
        <f>VLOOKUP(J$1,'As Filed'!$A$8:$BV$35,'As Filed'!$BV$7,FALSE)</f>
        <v>5.1247216797003836E-2</v>
      </c>
      <c r="K49" s="153">
        <f>VLOOKUP(K$1,'As Filed'!$A$8:$BV$35,'As Filed'!$BV$7,FALSE)</f>
        <v>5.7275439383740544E-2</v>
      </c>
      <c r="L49" s="153">
        <f>VLOOKUP(L$1,'As Filed'!$A$8:$BV$35,'As Filed'!$BV$7,FALSE)</f>
        <v>5.656042996813114E-2</v>
      </c>
      <c r="M49" s="153">
        <f>VLOOKUP(M$1,'As Filed'!$A$8:$BV$35,'As Filed'!$BV$7,FALSE)</f>
        <v>5.5138471266621199E-2</v>
      </c>
      <c r="N49" s="153">
        <f>VLOOKUP(N$1,'As Filed'!$A$8:$BV$35,'As Filed'!$BV$7,FALSE)</f>
        <v>5.3747683923975061E-2</v>
      </c>
    </row>
    <row r="50" spans="1:16" ht="15">
      <c r="A50" s="131"/>
      <c r="B50" s="143" t="s">
        <v>136</v>
      </c>
      <c r="C50" s="142">
        <f>ROUND((C44-C46-C47-C48)*ROUND(C49,4),0)</f>
        <v>97475</v>
      </c>
      <c r="D50" s="142">
        <f t="shared" ref="D50:N50" si="14">ROUND((D44-D46-D47-D48)*ROUND(D49,4),0)</f>
        <v>34790</v>
      </c>
      <c r="E50" s="142">
        <f t="shared" si="14"/>
        <v>44709</v>
      </c>
      <c r="F50" s="142">
        <f t="shared" si="14"/>
        <v>79681</v>
      </c>
      <c r="G50" s="142">
        <f t="shared" si="14"/>
        <v>75735</v>
      </c>
      <c r="H50" s="142">
        <f t="shared" si="14"/>
        <v>48682</v>
      </c>
      <c r="I50" s="142">
        <f t="shared" si="14"/>
        <v>-1598103</v>
      </c>
      <c r="J50" s="142">
        <f t="shared" si="14"/>
        <v>-1394074</v>
      </c>
      <c r="K50" s="142">
        <f t="shared" si="14"/>
        <v>-1363110</v>
      </c>
      <c r="L50" s="142">
        <f t="shared" si="14"/>
        <v>-1366098</v>
      </c>
      <c r="M50" s="142">
        <f t="shared" si="14"/>
        <v>-1485992</v>
      </c>
      <c r="N50" s="142">
        <f t="shared" si="14"/>
        <v>-1137098</v>
      </c>
    </row>
    <row r="51" spans="1:16">
      <c r="A51" s="131"/>
      <c r="B51" s="132" t="s">
        <v>110</v>
      </c>
      <c r="C51" s="134">
        <f t="shared" ref="C51:N51" si="15">SUM(C46:C50)</f>
        <v>97475.04870877006</v>
      </c>
      <c r="D51" s="134">
        <f t="shared" si="15"/>
        <v>34790.053559763357</v>
      </c>
      <c r="E51" s="134">
        <f t="shared" si="15"/>
        <v>44709.057616150094</v>
      </c>
      <c r="F51" s="134">
        <f t="shared" si="15"/>
        <v>79681.062870971946</v>
      </c>
      <c r="G51" s="134">
        <f t="shared" si="15"/>
        <v>75735.067702441869</v>
      </c>
      <c r="H51" s="134">
        <f t="shared" si="15"/>
        <v>48682.062833102646</v>
      </c>
      <c r="I51" s="134">
        <f t="shared" si="15"/>
        <v>-1598102.9437974482</v>
      </c>
      <c r="J51" s="134">
        <f t="shared" si="15"/>
        <v>-1394073.9487527832</v>
      </c>
      <c r="K51" s="134">
        <f t="shared" si="15"/>
        <v>-1363109.9427245606</v>
      </c>
      <c r="L51" s="134">
        <f t="shared" si="15"/>
        <v>-1366097.94343957</v>
      </c>
      <c r="M51" s="134">
        <f t="shared" si="15"/>
        <v>-1485991.9448615287</v>
      </c>
      <c r="N51" s="134">
        <f t="shared" si="15"/>
        <v>-1137097.946252316</v>
      </c>
    </row>
    <row r="52" spans="1:16">
      <c r="A52" s="131"/>
      <c r="B52" s="132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</row>
    <row r="53" spans="1:16">
      <c r="A53" s="138"/>
      <c r="B53" s="139" t="s">
        <v>121</v>
      </c>
      <c r="C53" s="148">
        <f t="shared" ref="C53:N53" si="16">C44-C51</f>
        <v>1904073.95129123</v>
      </c>
      <c r="D53" s="148">
        <f t="shared" si="16"/>
        <v>614285.94644023664</v>
      </c>
      <c r="E53" s="148">
        <f t="shared" si="16"/>
        <v>731490.94238384988</v>
      </c>
      <c r="F53" s="148">
        <f t="shared" si="16"/>
        <v>1187106.9371290281</v>
      </c>
      <c r="G53" s="148">
        <f t="shared" si="16"/>
        <v>1042951.9322975582</v>
      </c>
      <c r="H53" s="148">
        <f t="shared" si="16"/>
        <v>726505.93716689735</v>
      </c>
      <c r="I53" s="148">
        <f t="shared" si="16"/>
        <v>-26837897.056202553</v>
      </c>
      <c r="J53" s="148">
        <f t="shared" si="16"/>
        <v>-25833926.051247217</v>
      </c>
      <c r="K53" s="148">
        <f t="shared" si="16"/>
        <v>-22425890.057275441</v>
      </c>
      <c r="L53" s="148">
        <f t="shared" si="16"/>
        <v>-22769902.056560431</v>
      </c>
      <c r="M53" s="148">
        <f t="shared" si="16"/>
        <v>-25483008.055138472</v>
      </c>
      <c r="N53" s="148">
        <f t="shared" si="16"/>
        <v>-20037902.053747684</v>
      </c>
    </row>
    <row r="54" spans="1:16">
      <c r="A54" s="177" t="s">
        <v>149</v>
      </c>
      <c r="B54" s="129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</row>
    <row r="55" spans="1:16">
      <c r="A55" s="131"/>
      <c r="B55" s="132" t="s">
        <v>122</v>
      </c>
      <c r="C55" s="136">
        <f>'Form A As Proposed'!C55-'Form A As Filed'!C55</f>
        <v>0</v>
      </c>
      <c r="D55" s="136">
        <f>'Form A As Proposed'!D55-'Form A As Filed'!D55</f>
        <v>0</v>
      </c>
      <c r="E55" s="136">
        <f>'Form A As Proposed'!E55-'Form A As Filed'!E55</f>
        <v>-6.0000000000001025E-5</v>
      </c>
      <c r="F55" s="136">
        <f>'Form A As Proposed'!F55-'Form A As Filed'!F55</f>
        <v>-1.0000000000003062E-5</v>
      </c>
      <c r="G55" s="136">
        <f>'Form A As Proposed'!G55-'Form A As Filed'!G55</f>
        <v>0</v>
      </c>
      <c r="H55" s="136">
        <f>'Form A As Proposed'!H55-'Form A As Filed'!H55</f>
        <v>-2.0000000000002655E-5</v>
      </c>
      <c r="I55" s="136">
        <f>'Form A As Proposed'!I55-'Form A As Filed'!I55</f>
        <v>-1.9999999999999185E-5</v>
      </c>
      <c r="J55" s="136">
        <f>'Form A As Proposed'!J55-'Form A As Filed'!J55</f>
        <v>-2.9999999999998778E-5</v>
      </c>
      <c r="K55" s="136">
        <f>'Form A As Proposed'!K55-'Form A As Filed'!K55</f>
        <v>7.9000000000000251E-4</v>
      </c>
      <c r="L55" s="136">
        <f>'Form A As Proposed'!L55-'Form A As Filed'!L55</f>
        <v>8.000000000000021E-4</v>
      </c>
      <c r="M55" s="136">
        <f>'Form A As Proposed'!M55-'Form A As Filed'!M55</f>
        <v>5.3999999999999881E-4</v>
      </c>
      <c r="N55" s="136">
        <f>'Form A As Proposed'!N55-'Form A As Filed'!N55</f>
        <v>4.1999999999999676E-4</v>
      </c>
    </row>
    <row r="56" spans="1:16">
      <c r="A56" s="131"/>
      <c r="B56" s="132" t="s">
        <v>123</v>
      </c>
      <c r="C56" s="134">
        <f>'Form A As Proposed'!C56-'Form A As Filed'!C56</f>
        <v>0</v>
      </c>
      <c r="D56" s="134">
        <f>'Form A As Proposed'!D56-'Form A As Filed'!D56</f>
        <v>0</v>
      </c>
      <c r="E56" s="134">
        <f>'Form A As Proposed'!E56-'Form A As Filed'!E56</f>
        <v>0</v>
      </c>
      <c r="F56" s="134">
        <f>'Form A As Proposed'!F56-'Form A As Filed'!F56</f>
        <v>0</v>
      </c>
      <c r="G56" s="134">
        <f>'Form A As Proposed'!G56-'Form A As Filed'!G56</f>
        <v>0</v>
      </c>
      <c r="H56" s="134">
        <f>'Form A As Proposed'!H56-'Form A As Filed'!H56</f>
        <v>0</v>
      </c>
      <c r="I56" s="134">
        <f>'Form A As Proposed'!I56-'Form A As Filed'!I56</f>
        <v>0</v>
      </c>
      <c r="J56" s="134">
        <f>'Form A As Proposed'!J56-'Form A As Filed'!J56</f>
        <v>0</v>
      </c>
      <c r="K56" s="134">
        <f>'Form A As Proposed'!K56-'Form A As Filed'!K56</f>
        <v>0</v>
      </c>
      <c r="L56" s="134">
        <f>'Form A As Proposed'!L56-'Form A As Filed'!L56</f>
        <v>0</v>
      </c>
      <c r="M56" s="134">
        <f>'Form A As Proposed'!M56-'Form A As Filed'!M56</f>
        <v>0</v>
      </c>
      <c r="N56" s="134">
        <f>'Form A As Proposed'!N56-'Form A As Filed'!N56</f>
        <v>0</v>
      </c>
    </row>
    <row r="57" spans="1:16">
      <c r="A57" s="144" t="s">
        <v>151</v>
      </c>
      <c r="B57" s="132" t="s">
        <v>124</v>
      </c>
      <c r="C57" s="133">
        <f>'Form A As Proposed'!C57-'Form A As Filed'!C57</f>
        <v>0</v>
      </c>
      <c r="D57" s="133">
        <f>'Form A As Proposed'!D57-'Form A As Filed'!D57</f>
        <v>0</v>
      </c>
      <c r="E57" s="133">
        <f>'Form A As Proposed'!E57-'Form A As Filed'!E57</f>
        <v>-65543</v>
      </c>
      <c r="F57" s="133">
        <f>'Form A As Proposed'!F57-'Form A As Filed'!F57</f>
        <v>-11542</v>
      </c>
      <c r="G57" s="133">
        <f>'Form A As Proposed'!G57-'Form A As Filed'!G57</f>
        <v>0</v>
      </c>
      <c r="H57" s="133">
        <f>'Form A As Proposed'!H57-'Form A As Filed'!H57</f>
        <v>-22322</v>
      </c>
      <c r="I57" s="133">
        <f>'Form A As Proposed'!I57-'Form A As Filed'!I57</f>
        <v>-17568</v>
      </c>
      <c r="J57" s="133">
        <f>'Form A As Proposed'!J57-'Form A As Filed'!J57</f>
        <v>-23189</v>
      </c>
      <c r="K57" s="133">
        <f>'Form A As Proposed'!K57-'Form A As Filed'!K57</f>
        <v>673481</v>
      </c>
      <c r="L57" s="133">
        <f>'Form A As Proposed'!L57-'Form A As Filed'!L57</f>
        <v>780034</v>
      </c>
      <c r="M57" s="133">
        <f>'Form A As Proposed'!M57-'Form A As Filed'!M57</f>
        <v>452279</v>
      </c>
      <c r="N57" s="133">
        <f>'Form A As Proposed'!N57-'Form A As Filed'!N57</f>
        <v>357820</v>
      </c>
      <c r="P57" s="184"/>
    </row>
    <row r="58" spans="1:16">
      <c r="A58" s="131"/>
      <c r="B58" s="132" t="s">
        <v>125</v>
      </c>
      <c r="C58" s="146">
        <f>'Form A As Proposed'!C58-'Form A As Filed'!C58</f>
        <v>0</v>
      </c>
      <c r="D58" s="146">
        <f>'Form A As Proposed'!D58-'Form A As Filed'!D58</f>
        <v>0</v>
      </c>
      <c r="E58" s="146">
        <f>'Form A As Proposed'!E58-'Form A As Filed'!E58</f>
        <v>1904073</v>
      </c>
      <c r="F58" s="146">
        <f>'Form A As Proposed'!F58-'Form A As Filed'!F58</f>
        <v>614286</v>
      </c>
      <c r="G58" s="146">
        <f>'Form A As Proposed'!G58-'Form A As Filed'!G58</f>
        <v>731490</v>
      </c>
      <c r="H58" s="146">
        <f>'Form A As Proposed'!H58-'Form A As Filed'!H58</f>
        <v>1187107</v>
      </c>
      <c r="I58" s="146">
        <f>'Form A As Proposed'!I58-'Form A As Filed'!I58</f>
        <v>1042952</v>
      </c>
      <c r="J58" s="146">
        <f>'Form A As Proposed'!J58-'Form A As Filed'!J58</f>
        <v>726506</v>
      </c>
      <c r="K58" s="146">
        <f>'Form A As Proposed'!K58-'Form A As Filed'!K58</f>
        <v>-26837897</v>
      </c>
      <c r="L58" s="146">
        <f>'Form A As Proposed'!L58-'Form A As Filed'!L58</f>
        <v>-25833926</v>
      </c>
      <c r="M58" s="146">
        <f>'Form A As Proposed'!M58-'Form A As Filed'!M58</f>
        <v>-22425890</v>
      </c>
      <c r="N58" s="146">
        <f>'Form A As Proposed'!N58-'Form A As Filed'!N58</f>
        <v>-22769903</v>
      </c>
    </row>
    <row r="59" spans="1:16">
      <c r="A59" s="131"/>
      <c r="B59" s="132" t="s">
        <v>126</v>
      </c>
      <c r="C59" s="146">
        <v>0</v>
      </c>
      <c r="D59" s="146">
        <v>0</v>
      </c>
      <c r="E59" s="146">
        <v>0</v>
      </c>
      <c r="F59" s="146">
        <v>0</v>
      </c>
      <c r="G59" s="146">
        <v>0</v>
      </c>
      <c r="H59" s="146">
        <v>0</v>
      </c>
      <c r="I59" s="146">
        <v>0</v>
      </c>
      <c r="J59" s="146">
        <v>0</v>
      </c>
      <c r="K59" s="146">
        <v>0</v>
      </c>
      <c r="L59" s="146">
        <v>0</v>
      </c>
      <c r="M59" s="146">
        <v>0</v>
      </c>
      <c r="N59" s="146">
        <v>0</v>
      </c>
    </row>
    <row r="60" spans="1:16">
      <c r="A60" s="131"/>
      <c r="B60" s="132" t="s">
        <v>127</v>
      </c>
      <c r="C60" s="134">
        <f t="shared" ref="C60" si="17">C58-C59</f>
        <v>0</v>
      </c>
      <c r="D60" s="134">
        <f t="shared" ref="D60:N60" si="18">D58-D59</f>
        <v>0</v>
      </c>
      <c r="E60" s="134">
        <f t="shared" si="18"/>
        <v>1904073</v>
      </c>
      <c r="F60" s="134">
        <f t="shared" si="18"/>
        <v>614286</v>
      </c>
      <c r="G60" s="134">
        <f t="shared" si="18"/>
        <v>731490</v>
      </c>
      <c r="H60" s="134">
        <f t="shared" si="18"/>
        <v>1187107</v>
      </c>
      <c r="I60" s="134">
        <f t="shared" si="18"/>
        <v>1042952</v>
      </c>
      <c r="J60" s="134">
        <f t="shared" si="18"/>
        <v>726506</v>
      </c>
      <c r="K60" s="134">
        <f t="shared" si="18"/>
        <v>-26837897</v>
      </c>
      <c r="L60" s="134">
        <f t="shared" si="18"/>
        <v>-25833926</v>
      </c>
      <c r="M60" s="134">
        <f t="shared" si="18"/>
        <v>-22425890</v>
      </c>
      <c r="N60" s="134">
        <f t="shared" si="18"/>
        <v>-22769903</v>
      </c>
    </row>
    <row r="61" spans="1:16">
      <c r="A61" s="131"/>
      <c r="B61" s="132" t="s">
        <v>128</v>
      </c>
      <c r="C61" s="136">
        <v>0</v>
      </c>
      <c r="D61" s="136">
        <v>0</v>
      </c>
      <c r="E61" s="136">
        <v>0</v>
      </c>
      <c r="F61" s="136">
        <v>0</v>
      </c>
      <c r="G61" s="136">
        <v>0</v>
      </c>
      <c r="H61" s="136">
        <v>0</v>
      </c>
      <c r="I61" s="136">
        <v>0</v>
      </c>
      <c r="J61" s="136">
        <v>0</v>
      </c>
      <c r="K61" s="136">
        <v>0</v>
      </c>
      <c r="L61" s="136">
        <v>0</v>
      </c>
      <c r="M61" s="136">
        <v>0</v>
      </c>
      <c r="N61" s="136">
        <v>0</v>
      </c>
    </row>
    <row r="62" spans="1:16">
      <c r="A62" s="131" t="s">
        <v>152</v>
      </c>
      <c r="B62" s="132" t="s">
        <v>129</v>
      </c>
      <c r="C62" s="133">
        <f>'Form A As Proposed'!C62-'Form A As Filed'!C62</f>
        <v>0</v>
      </c>
      <c r="D62" s="133">
        <f>'Form A As Proposed'!D62-'Form A As Filed'!D62</f>
        <v>0</v>
      </c>
      <c r="E62" s="133">
        <f>'Form A As Proposed'!E62-'Form A As Filed'!E62</f>
        <v>-39910</v>
      </c>
      <c r="F62" s="133">
        <f>'Form A As Proposed'!F62-'Form A As Filed'!F62</f>
        <v>-7038</v>
      </c>
      <c r="G62" s="133">
        <f>'Form A As Proposed'!G62-'Form A As Filed'!G62</f>
        <v>2443</v>
      </c>
      <c r="H62" s="133">
        <f>'Form A As Proposed'!H62-'Form A As Filed'!H62</f>
        <v>-24309</v>
      </c>
      <c r="I62" s="133">
        <f>'Form A As Proposed'!I62-'Form A As Filed'!I62</f>
        <v>-22327</v>
      </c>
      <c r="J62" s="133">
        <f>'Form A As Proposed'!J62-'Form A As Filed'!J62</f>
        <v>-24922</v>
      </c>
      <c r="K62" s="133">
        <f>'Form A As Proposed'!K62-'Form A As Filed'!K62</f>
        <v>585624</v>
      </c>
      <c r="L62" s="133">
        <f>'Form A As Proposed'!L62-'Form A As Filed'!L62</f>
        <v>574213</v>
      </c>
      <c r="M62" s="133">
        <f>'Form A As Proposed'!M62-'Form A As Filed'!M62</f>
        <v>409722</v>
      </c>
      <c r="N62" s="133">
        <f>'Form A As Proposed'!N62-'Form A As Filed'!N62</f>
        <v>294838</v>
      </c>
      <c r="P62" s="184"/>
    </row>
    <row r="63" spans="1:16">
      <c r="A63" s="131"/>
      <c r="B63" s="132" t="s">
        <v>130</v>
      </c>
      <c r="C63" s="145">
        <f t="shared" ref="C63" si="19">C57-C62</f>
        <v>0</v>
      </c>
      <c r="D63" s="145">
        <f t="shared" ref="D63:N63" si="20">D57-D62</f>
        <v>0</v>
      </c>
      <c r="E63" s="145">
        <f t="shared" si="20"/>
        <v>-25633</v>
      </c>
      <c r="F63" s="145">
        <f t="shared" si="20"/>
        <v>-4504</v>
      </c>
      <c r="G63" s="145">
        <f t="shared" si="20"/>
        <v>-2443</v>
      </c>
      <c r="H63" s="145">
        <f t="shared" si="20"/>
        <v>1987</v>
      </c>
      <c r="I63" s="145">
        <f t="shared" si="20"/>
        <v>4759</v>
      </c>
      <c r="J63" s="145">
        <f t="shared" si="20"/>
        <v>1733</v>
      </c>
      <c r="K63" s="145">
        <f t="shared" si="20"/>
        <v>87857</v>
      </c>
      <c r="L63" s="145">
        <f t="shared" si="20"/>
        <v>205821</v>
      </c>
      <c r="M63" s="145">
        <f t="shared" si="20"/>
        <v>42557</v>
      </c>
      <c r="N63" s="145">
        <f t="shared" si="20"/>
        <v>62982</v>
      </c>
    </row>
    <row r="64" spans="1:16">
      <c r="A64" s="131"/>
      <c r="B64" s="132" t="s">
        <v>131</v>
      </c>
      <c r="C64" s="134">
        <f>'Form A As Proposed'!C64-'Form A As Filed'!C64</f>
        <v>1904073</v>
      </c>
      <c r="D64" s="134">
        <f>'Form A As Proposed'!D64-'Form A As Filed'!D64</f>
        <v>614286</v>
      </c>
      <c r="E64" s="134">
        <f>'Form A As Proposed'!E64-'Form A As Filed'!E64</f>
        <v>731490</v>
      </c>
      <c r="F64" s="134">
        <f>'Form A As Proposed'!F64-'Form A As Filed'!F64</f>
        <v>1187107</v>
      </c>
      <c r="G64" s="134">
        <f>'Form A As Proposed'!G64-'Form A As Filed'!G64</f>
        <v>1042952</v>
      </c>
      <c r="H64" s="134">
        <f>'Form A As Proposed'!H64-'Form A As Filed'!H64</f>
        <v>726506</v>
      </c>
      <c r="I64" s="134">
        <f>'Form A As Proposed'!I64-'Form A As Filed'!I64</f>
        <v>-26837897</v>
      </c>
      <c r="J64" s="134">
        <f>'Form A As Proposed'!J64-'Form A As Filed'!J64</f>
        <v>-25833926</v>
      </c>
      <c r="K64" s="134">
        <f>'Form A As Proposed'!K64-'Form A As Filed'!K64</f>
        <v>-22425890</v>
      </c>
      <c r="L64" s="134">
        <f>'Form A As Proposed'!L64-'Form A As Filed'!L64</f>
        <v>-22769903</v>
      </c>
      <c r="M64" s="134">
        <f>'Form A As Proposed'!M64-'Form A As Filed'!M64</f>
        <v>-25483009</v>
      </c>
      <c r="N64" s="134">
        <f>'Form A As Proposed'!N64-'Form A As Filed'!N64</f>
        <v>-20037903</v>
      </c>
    </row>
    <row r="65" spans="1:14">
      <c r="A65" s="131"/>
      <c r="B65" s="132" t="s">
        <v>127</v>
      </c>
      <c r="C65" s="134">
        <f>C64</f>
        <v>1904073</v>
      </c>
      <c r="D65" s="134">
        <f t="shared" ref="D65:N65" si="21">D64</f>
        <v>614286</v>
      </c>
      <c r="E65" s="134">
        <f t="shared" si="21"/>
        <v>731490</v>
      </c>
      <c r="F65" s="134">
        <f t="shared" si="21"/>
        <v>1187107</v>
      </c>
      <c r="G65" s="134">
        <f t="shared" si="21"/>
        <v>1042952</v>
      </c>
      <c r="H65" s="134">
        <f t="shared" si="21"/>
        <v>726506</v>
      </c>
      <c r="I65" s="134">
        <f t="shared" si="21"/>
        <v>-26837897</v>
      </c>
      <c r="J65" s="134">
        <f t="shared" si="21"/>
        <v>-25833926</v>
      </c>
      <c r="K65" s="134">
        <f t="shared" si="21"/>
        <v>-22425890</v>
      </c>
      <c r="L65" s="134">
        <f t="shared" si="21"/>
        <v>-22769903</v>
      </c>
      <c r="M65" s="134">
        <f t="shared" si="21"/>
        <v>-25483009</v>
      </c>
      <c r="N65" s="134">
        <f t="shared" si="21"/>
        <v>-20037903</v>
      </c>
    </row>
    <row r="66" spans="1:14">
      <c r="A66" s="131"/>
      <c r="B66" s="132" t="s">
        <v>132</v>
      </c>
      <c r="C66" s="135">
        <f t="shared" ref="C66" si="22">ROUND(C64/C65,8)</f>
        <v>1</v>
      </c>
      <c r="D66" s="135">
        <f t="shared" ref="D66:N66" si="23">ROUND(D64/D65,8)</f>
        <v>1</v>
      </c>
      <c r="E66" s="135">
        <f t="shared" si="23"/>
        <v>1</v>
      </c>
      <c r="F66" s="135">
        <f t="shared" si="23"/>
        <v>1</v>
      </c>
      <c r="G66" s="135">
        <f t="shared" si="23"/>
        <v>1</v>
      </c>
      <c r="H66" s="135">
        <f t="shared" si="23"/>
        <v>1</v>
      </c>
      <c r="I66" s="135">
        <f t="shared" si="23"/>
        <v>1</v>
      </c>
      <c r="J66" s="135">
        <f t="shared" si="23"/>
        <v>1</v>
      </c>
      <c r="K66" s="135">
        <f t="shared" si="23"/>
        <v>1</v>
      </c>
      <c r="L66" s="135">
        <f t="shared" si="23"/>
        <v>1</v>
      </c>
      <c r="M66" s="135">
        <f t="shared" si="23"/>
        <v>1</v>
      </c>
      <c r="N66" s="135">
        <f t="shared" si="23"/>
        <v>1</v>
      </c>
    </row>
    <row r="67" spans="1:14">
      <c r="A67" s="138"/>
      <c r="B67" s="139" t="s">
        <v>133</v>
      </c>
      <c r="C67" s="149">
        <f t="shared" ref="C67" si="24">ROUND(C63*C66,0)</f>
        <v>0</v>
      </c>
      <c r="D67" s="149">
        <f t="shared" ref="D67:N67" si="25">ROUND(D63*D66,0)</f>
        <v>0</v>
      </c>
      <c r="E67" s="149">
        <f t="shared" si="25"/>
        <v>-25633</v>
      </c>
      <c r="F67" s="149">
        <f t="shared" si="25"/>
        <v>-4504</v>
      </c>
      <c r="G67" s="149">
        <f t="shared" si="25"/>
        <v>-2443</v>
      </c>
      <c r="H67" s="149">
        <f t="shared" si="25"/>
        <v>1987</v>
      </c>
      <c r="I67" s="149">
        <f t="shared" si="25"/>
        <v>4759</v>
      </c>
      <c r="J67" s="149">
        <f t="shared" si="25"/>
        <v>1733</v>
      </c>
      <c r="K67" s="149">
        <f t="shared" si="25"/>
        <v>87857</v>
      </c>
      <c r="L67" s="149">
        <f t="shared" si="25"/>
        <v>205821</v>
      </c>
      <c r="M67" s="149">
        <f t="shared" si="25"/>
        <v>42557</v>
      </c>
      <c r="N67" s="149">
        <f t="shared" si="25"/>
        <v>62982</v>
      </c>
    </row>
    <row r="70" spans="1:14">
      <c r="A70" s="150"/>
    </row>
    <row r="88" spans="6:6">
      <c r="F88" s="126">
        <f>VLOOKUP(F$1,'[1]As Filed'!$A$6:$BQ$32,'[1]As Filed'!$O$5,FALSE)</f>
        <v>6672928.0300000003</v>
      </c>
    </row>
    <row r="89" spans="6:6">
      <c r="F89" s="126">
        <f>VLOOKUP(F$1,'[1]As Filed'!$A$6:$BQ$32,'[1]As Filed'!$P$5,FALSE)</f>
        <v>3775334.39</v>
      </c>
    </row>
    <row r="90" spans="6:6">
      <c r="F90" s="126">
        <f>VLOOKUP(F$1,'[1]As Filed'!$A$6:$BQ$32,'[1]As Filed'!$Q$5,FALSE)</f>
        <v>281308.2</v>
      </c>
    </row>
    <row r="91" spans="6:6">
      <c r="F91" s="151">
        <f>VLOOKUP(F$1,'[1]As Filed'!$A$6:$BQ$32,'[1]As Filed'!$R$5,FALSE)--VLOOKUP(F$1,'[1]As Filed'!$A$6:$BQ$32,'[1]As Filed'!$U$5,FALSE)</f>
        <v>172252.63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42"/>
  <sheetViews>
    <sheetView showGridLines="0" tabSelected="1" topLeftCell="A13" zoomScaleNormal="100" zoomScaleSheetLayoutView="70" workbookViewId="0">
      <selection activeCell="H37" sqref="H37"/>
    </sheetView>
  </sheetViews>
  <sheetFormatPr defaultColWidth="11" defaultRowHeight="15.75"/>
  <cols>
    <col min="1" max="1" width="4.85546875" style="156" customWidth="1"/>
    <col min="2" max="2" width="17" style="156" customWidth="1"/>
    <col min="3" max="3" width="12.140625" style="156" customWidth="1"/>
    <col min="4" max="4" width="20.140625" style="156" customWidth="1"/>
    <col min="5" max="5" width="4" style="156" customWidth="1"/>
    <col min="6" max="6" width="20.140625" style="156" customWidth="1"/>
    <col min="7" max="7" width="3.5703125" style="156" customWidth="1"/>
    <col min="8" max="8" width="14.7109375" style="156" bestFit="1" customWidth="1"/>
    <col min="9" max="9" width="13.140625" style="156" customWidth="1"/>
    <col min="10" max="10" width="13.28515625" style="156" bestFit="1" customWidth="1"/>
    <col min="11" max="11" width="21.140625" style="156" bestFit="1" customWidth="1"/>
    <col min="12" max="12" width="3" style="156" customWidth="1"/>
    <col min="13" max="13" width="21.140625" style="156" bestFit="1" customWidth="1"/>
    <col min="14" max="14" width="2.85546875" style="156" customWidth="1"/>
    <col min="15" max="15" width="13.5703125" style="156" bestFit="1" customWidth="1"/>
    <col min="16" max="16384" width="11" style="156"/>
  </cols>
  <sheetData>
    <row r="1" spans="1:15">
      <c r="A1" s="155"/>
      <c r="B1" s="155"/>
      <c r="C1" s="155"/>
      <c r="D1" s="155"/>
      <c r="E1" s="155"/>
    </row>
    <row r="2" spans="1:15">
      <c r="A2" s="157"/>
    </row>
    <row r="3" spans="1:15">
      <c r="F3" s="158" t="str">
        <f>'[2]Ex 1'!$K$1</f>
        <v>Exhibit 1</v>
      </c>
    </row>
    <row r="4" spans="1:15">
      <c r="F4" s="159" t="str">
        <f>"Reference Schedule "&amp;[2]Inputs!$A17&amp;""</f>
        <v>Reference Schedule 1.01</v>
      </c>
    </row>
    <row r="5" spans="1:15">
      <c r="F5" s="159" t="str">
        <f>"Sponsoring Witness: "&amp;[2]Inputs!$B17&amp;""</f>
        <v>Sponsoring Witness: Conroy</v>
      </c>
    </row>
    <row r="8" spans="1:15">
      <c r="B8" s="180" t="s">
        <v>147</v>
      </c>
      <c r="C8" s="181"/>
      <c r="D8" s="181"/>
      <c r="E8" s="181"/>
      <c r="F8" s="181"/>
    </row>
    <row r="9" spans="1:15">
      <c r="B9" s="160"/>
      <c r="C9" s="160"/>
      <c r="D9" s="160"/>
      <c r="E9" s="160"/>
      <c r="F9" s="161"/>
    </row>
    <row r="10" spans="1:15">
      <c r="B10" s="182"/>
      <c r="C10" s="182"/>
      <c r="D10" s="182"/>
      <c r="E10" s="182"/>
      <c r="F10" s="182"/>
    </row>
    <row r="11" spans="1:15">
      <c r="B11" s="183" t="s">
        <v>148</v>
      </c>
      <c r="C11" s="182"/>
      <c r="D11" s="182"/>
      <c r="E11" s="182"/>
      <c r="F11" s="182"/>
    </row>
    <row r="12" spans="1:15">
      <c r="B12" s="180" t="str">
        <f>"For the Twelve Months Ended "&amp;[2]Inputs!B3&amp;""</f>
        <v>For the Twelve Months Ended March 31, 2012</v>
      </c>
      <c r="C12" s="180"/>
      <c r="D12" s="180"/>
      <c r="E12" s="180"/>
      <c r="F12" s="180"/>
    </row>
    <row r="13" spans="1:15">
      <c r="B13" s="157"/>
    </row>
    <row r="15" spans="1:15">
      <c r="D15" s="156" t="s">
        <v>137</v>
      </c>
      <c r="F15" s="162" t="s">
        <v>138</v>
      </c>
      <c r="H15" s="162" t="s">
        <v>139</v>
      </c>
      <c r="K15" s="156" t="s">
        <v>137</v>
      </c>
      <c r="M15" s="162" t="s">
        <v>138</v>
      </c>
      <c r="O15" s="162" t="s">
        <v>139</v>
      </c>
    </row>
    <row r="16" spans="1:15">
      <c r="B16" s="163"/>
      <c r="C16" s="163"/>
      <c r="D16" s="164" t="s">
        <v>140</v>
      </c>
      <c r="F16" s="164" t="s">
        <v>140</v>
      </c>
      <c r="H16" s="164" t="s">
        <v>140</v>
      </c>
      <c r="K16" s="164" t="s">
        <v>0</v>
      </c>
      <c r="M16" s="164" t="s">
        <v>0</v>
      </c>
      <c r="O16" s="164" t="s">
        <v>0</v>
      </c>
    </row>
    <row r="17" spans="1:15">
      <c r="C17" s="163"/>
      <c r="D17" s="165" t="s">
        <v>141</v>
      </c>
      <c r="F17" s="165" t="s">
        <v>141</v>
      </c>
      <c r="H17" s="165" t="s">
        <v>141</v>
      </c>
      <c r="K17" s="165" t="s">
        <v>142</v>
      </c>
      <c r="M17" s="165" t="s">
        <v>142</v>
      </c>
      <c r="O17" s="165" t="s">
        <v>142</v>
      </c>
    </row>
    <row r="18" spans="1:15">
      <c r="A18" s="166"/>
      <c r="B18" s="165" t="s">
        <v>0</v>
      </c>
      <c r="C18" s="163"/>
      <c r="D18" s="185" t="s">
        <v>153</v>
      </c>
      <c r="F18" s="185" t="s">
        <v>153</v>
      </c>
      <c r="H18" s="185" t="s">
        <v>153</v>
      </c>
      <c r="K18" s="185" t="s">
        <v>153</v>
      </c>
      <c r="M18" s="185" t="s">
        <v>153</v>
      </c>
      <c r="O18" s="185" t="s">
        <v>153</v>
      </c>
    </row>
    <row r="19" spans="1:15">
      <c r="A19" s="166"/>
      <c r="B19" s="167" t="s">
        <v>9</v>
      </c>
      <c r="C19" s="163"/>
      <c r="D19" s="167" t="s">
        <v>143</v>
      </c>
      <c r="F19" s="178" t="s">
        <v>154</v>
      </c>
      <c r="H19" s="167" t="s">
        <v>143</v>
      </c>
      <c r="K19" s="178" t="s">
        <v>150</v>
      </c>
      <c r="M19" s="178" t="s">
        <v>155</v>
      </c>
      <c r="O19" s="178" t="s">
        <v>150</v>
      </c>
    </row>
    <row r="20" spans="1:15">
      <c r="A20" s="168"/>
      <c r="B20" s="163"/>
      <c r="C20" s="163"/>
      <c r="D20" s="163"/>
      <c r="F20" s="163"/>
      <c r="H20" s="163"/>
      <c r="K20" s="163"/>
      <c r="M20" s="163"/>
      <c r="O20" s="163"/>
    </row>
    <row r="21" spans="1:15">
      <c r="B21" s="169">
        <v>40634</v>
      </c>
      <c r="C21" s="163"/>
      <c r="D21" s="170">
        <v>1854801</v>
      </c>
      <c r="E21" s="171"/>
      <c r="F21" s="170">
        <v>1854801</v>
      </c>
      <c r="G21" s="169"/>
      <c r="H21" s="170">
        <f>D21-F21</f>
        <v>0</v>
      </c>
      <c r="K21" s="170">
        <v>3286958</v>
      </c>
      <c r="M21" s="170">
        <v>3326868</v>
      </c>
      <c r="O21" s="170">
        <f>K21-M21</f>
        <v>-39910</v>
      </c>
    </row>
    <row r="22" spans="1:15">
      <c r="B22" s="169">
        <v>40664</v>
      </c>
      <c r="C22" s="163"/>
      <c r="D22" s="170">
        <v>1974419</v>
      </c>
      <c r="E22" s="171"/>
      <c r="F22" s="170">
        <v>1974419</v>
      </c>
      <c r="G22" s="169"/>
      <c r="H22" s="170">
        <f t="shared" ref="H22:H32" si="0">D22-F22</f>
        <v>0</v>
      </c>
      <c r="K22" s="170">
        <v>3981600</v>
      </c>
      <c r="M22" s="170">
        <v>3988638</v>
      </c>
      <c r="O22" s="170">
        <f t="shared" ref="O22:O32" si="1">K22-M22</f>
        <v>-7038</v>
      </c>
    </row>
    <row r="23" spans="1:15">
      <c r="B23" s="169">
        <v>40695</v>
      </c>
      <c r="C23" s="163"/>
      <c r="D23" s="170">
        <v>4500676</v>
      </c>
      <c r="E23" s="171"/>
      <c r="F23" s="170">
        <v>4566219</v>
      </c>
      <c r="G23" s="169"/>
      <c r="H23" s="170">
        <f t="shared" si="0"/>
        <v>-65543</v>
      </c>
      <c r="K23" s="170">
        <v>3787682</v>
      </c>
      <c r="M23" s="170">
        <v>3785239</v>
      </c>
      <c r="O23" s="170">
        <f t="shared" si="1"/>
        <v>2443</v>
      </c>
    </row>
    <row r="24" spans="1:15">
      <c r="B24" s="169">
        <v>40725</v>
      </c>
      <c r="C24" s="163"/>
      <c r="D24" s="170">
        <v>4789716</v>
      </c>
      <c r="E24" s="171"/>
      <c r="F24" s="170">
        <v>4801258</v>
      </c>
      <c r="G24" s="169"/>
      <c r="H24" s="170">
        <f t="shared" si="0"/>
        <v>-11542</v>
      </c>
      <c r="K24" s="170">
        <v>3142066</v>
      </c>
      <c r="M24" s="170">
        <v>3166375</v>
      </c>
      <c r="O24" s="170">
        <f t="shared" si="1"/>
        <v>-24309</v>
      </c>
    </row>
    <row r="25" spans="1:15">
      <c r="B25" s="169">
        <v>40756</v>
      </c>
      <c r="C25" s="163"/>
      <c r="D25" s="170">
        <v>4512430</v>
      </c>
      <c r="E25" s="171"/>
      <c r="F25" s="170">
        <v>4512430</v>
      </c>
      <c r="G25" s="169"/>
      <c r="H25" s="170">
        <f t="shared" si="0"/>
        <v>0</v>
      </c>
      <c r="K25" s="170">
        <v>2697290</v>
      </c>
      <c r="M25" s="170">
        <v>2719617</v>
      </c>
      <c r="O25" s="170">
        <f t="shared" si="1"/>
        <v>-22327</v>
      </c>
    </row>
    <row r="26" spans="1:15">
      <c r="B26" s="169">
        <v>40787</v>
      </c>
      <c r="C26" s="163"/>
      <c r="D26" s="170">
        <v>2589350</v>
      </c>
      <c r="E26" s="171"/>
      <c r="F26" s="170">
        <v>2611672</v>
      </c>
      <c r="G26" s="169"/>
      <c r="H26" s="170">
        <f t="shared" si="0"/>
        <v>-22322</v>
      </c>
      <c r="K26" s="170">
        <v>2751491</v>
      </c>
      <c r="M26" s="170">
        <v>2776413</v>
      </c>
      <c r="O26" s="170">
        <f t="shared" si="1"/>
        <v>-24922</v>
      </c>
    </row>
    <row r="27" spans="1:15">
      <c r="B27" s="169">
        <v>40817</v>
      </c>
      <c r="C27" s="163"/>
      <c r="D27" s="170">
        <v>1923624</v>
      </c>
      <c r="E27" s="171"/>
      <c r="F27" s="170">
        <v>1941192</v>
      </c>
      <c r="G27" s="169"/>
      <c r="H27" s="170">
        <f t="shared" si="0"/>
        <v>-17568</v>
      </c>
      <c r="K27" s="170">
        <v>2476701</v>
      </c>
      <c r="M27" s="170">
        <v>1891077</v>
      </c>
      <c r="O27" s="170">
        <f t="shared" si="1"/>
        <v>585624</v>
      </c>
    </row>
    <row r="28" spans="1:15">
      <c r="B28" s="169">
        <v>40848</v>
      </c>
      <c r="C28" s="163"/>
      <c r="D28" s="170">
        <v>2349868</v>
      </c>
      <c r="E28" s="171"/>
      <c r="F28" s="170">
        <v>2373057</v>
      </c>
      <c r="G28" s="169"/>
      <c r="H28" s="170">
        <f t="shared" si="0"/>
        <v>-23189</v>
      </c>
      <c r="K28" s="170">
        <v>2771528</v>
      </c>
      <c r="M28" s="170">
        <v>2197315</v>
      </c>
      <c r="O28" s="170">
        <f t="shared" si="1"/>
        <v>574213</v>
      </c>
    </row>
    <row r="29" spans="1:15">
      <c r="B29" s="169">
        <v>40878</v>
      </c>
      <c r="C29" s="163"/>
      <c r="D29" s="170">
        <v>2583101</v>
      </c>
      <c r="E29" s="171"/>
      <c r="F29" s="170">
        <v>1909620</v>
      </c>
      <c r="G29" s="169"/>
      <c r="H29" s="170">
        <f t="shared" si="0"/>
        <v>673481</v>
      </c>
      <c r="K29" s="170">
        <v>3261644</v>
      </c>
      <c r="M29" s="170">
        <v>2851922</v>
      </c>
      <c r="O29" s="170">
        <f t="shared" si="1"/>
        <v>409722</v>
      </c>
    </row>
    <row r="30" spans="1:15">
      <c r="B30" s="169">
        <v>40909</v>
      </c>
      <c r="C30" s="163"/>
      <c r="D30" s="170">
        <v>3363897</v>
      </c>
      <c r="E30" s="171"/>
      <c r="F30" s="170">
        <v>2583863</v>
      </c>
      <c r="G30" s="169"/>
      <c r="H30" s="170">
        <f t="shared" si="0"/>
        <v>780034</v>
      </c>
      <c r="K30" s="170">
        <v>4003538</v>
      </c>
      <c r="M30" s="170">
        <v>3708700</v>
      </c>
      <c r="O30" s="170">
        <f t="shared" si="1"/>
        <v>294838</v>
      </c>
    </row>
    <row r="31" spans="1:15">
      <c r="B31" s="169">
        <v>40940</v>
      </c>
      <c r="C31" s="163"/>
      <c r="D31" s="170">
        <v>3073823</v>
      </c>
      <c r="E31" s="172"/>
      <c r="F31" s="170">
        <v>2621544</v>
      </c>
      <c r="G31" s="169"/>
      <c r="H31" s="170">
        <f t="shared" si="0"/>
        <v>452279</v>
      </c>
      <c r="K31" s="170">
        <f>'Form A As Proposed'!M9*'Form A As Proposed'!M60</f>
        <v>4888022.5236849869</v>
      </c>
      <c r="M31" s="170">
        <f>'Form A As Filed'!M9*'Form A As Filed'!M60</f>
        <v>4300662.2574896617</v>
      </c>
      <c r="O31" s="170">
        <f t="shared" si="1"/>
        <v>587360.26619532518</v>
      </c>
    </row>
    <row r="32" spans="1:15">
      <c r="B32" s="169">
        <v>40969</v>
      </c>
      <c r="C32" s="163"/>
      <c r="D32" s="170">
        <v>3723037</v>
      </c>
      <c r="E32" s="172"/>
      <c r="F32" s="170">
        <v>3365217</v>
      </c>
      <c r="G32" s="169"/>
      <c r="H32" s="170">
        <f t="shared" si="0"/>
        <v>357820</v>
      </c>
      <c r="K32" s="170">
        <f>'Form A As Proposed'!N9*'Form A As Proposed'!N60</f>
        <v>5432718.5016645975</v>
      </c>
      <c r="M32" s="170">
        <f>'Form A As Filed'!N9*'Form A As Filed'!N60</f>
        <v>5032564.5837768354</v>
      </c>
      <c r="O32" s="170">
        <f t="shared" si="1"/>
        <v>400153.91788776219</v>
      </c>
    </row>
    <row r="33" spans="2:15" ht="16.5" thickBot="1">
      <c r="B33" s="163" t="s">
        <v>24</v>
      </c>
      <c r="C33" s="163"/>
      <c r="D33" s="173">
        <f>SUM(D21:D32)</f>
        <v>37238742</v>
      </c>
      <c r="F33" s="173">
        <f>SUM(F21:F32)</f>
        <v>35115292</v>
      </c>
      <c r="H33" s="173">
        <f>SUM(H21:H32)</f>
        <v>2123450</v>
      </c>
      <c r="K33" s="173">
        <f>SUM(K21:K32)</f>
        <v>42481239.025349587</v>
      </c>
      <c r="M33" s="173">
        <f>SUM(M21:M32)</f>
        <v>39745390.841266498</v>
      </c>
      <c r="O33" s="173">
        <f>SUM(O21:O32)</f>
        <v>2735848.1840830874</v>
      </c>
    </row>
    <row r="34" spans="2:15" ht="16.5" thickTop="1">
      <c r="B34" s="163"/>
      <c r="C34" s="163"/>
      <c r="D34" s="174"/>
      <c r="F34" s="174"/>
      <c r="H34" s="174"/>
      <c r="K34" s="174"/>
      <c r="M34" s="174"/>
      <c r="O34" s="174"/>
    </row>
    <row r="35" spans="2:15" ht="16.5" thickBot="1">
      <c r="B35" s="156" t="s">
        <v>144</v>
      </c>
      <c r="D35" s="175">
        <f>-D33</f>
        <v>-37238742</v>
      </c>
      <c r="F35" s="175">
        <f>-F33</f>
        <v>-35115292</v>
      </c>
      <c r="H35" s="186">
        <f>-H33</f>
        <v>-2123450</v>
      </c>
      <c r="K35" s="175">
        <f>-K33</f>
        <v>-42481239.025349587</v>
      </c>
      <c r="M35" s="175">
        <f>-M33</f>
        <v>-39745390.841266498</v>
      </c>
      <c r="O35" s="186">
        <f>-O33</f>
        <v>-2735848.1840830874</v>
      </c>
    </row>
    <row r="36" spans="2:15" ht="16.5" thickTop="1"/>
    <row r="39" spans="2:15">
      <c r="B39" s="163" t="s">
        <v>145</v>
      </c>
      <c r="F39" s="174"/>
    </row>
    <row r="40" spans="2:15">
      <c r="B40" s="176" t="s">
        <v>146</v>
      </c>
    </row>
    <row r="42" spans="2:15">
      <c r="B42" s="187" t="s">
        <v>156</v>
      </c>
    </row>
  </sheetData>
  <mergeCells count="4">
    <mergeCell ref="B8:F8"/>
    <mergeCell ref="B10:F10"/>
    <mergeCell ref="B11:F11"/>
    <mergeCell ref="B12:F12"/>
  </mergeCells>
  <printOptions horizontalCentered="1" gridLinesSet="0"/>
  <pageMargins left="1.2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As Filed</vt:lpstr>
      <vt:lpstr>Form A As Filed</vt:lpstr>
      <vt:lpstr>Form A As Proposed</vt:lpstr>
      <vt:lpstr>Difference</vt:lpstr>
      <vt:lpstr>1.01</vt:lpstr>
      <vt:lpstr>'1.01'!Print_Area</vt:lpstr>
      <vt:lpstr>'As Filed'!Print_Titles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Carol Foxworthy</cp:lastModifiedBy>
  <cp:lastPrinted>2012-05-23T23:47:38Z</cp:lastPrinted>
  <dcterms:created xsi:type="dcterms:W3CDTF">1999-07-16T01:58:20Z</dcterms:created>
  <dcterms:modified xsi:type="dcterms:W3CDTF">2012-05-23T23:59:41Z</dcterms:modified>
</cp:coreProperties>
</file>