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G&amp;E Pg. 1" sheetId="1" r:id="rId1"/>
    <sheet name="LG&amp;E Pg. 2" sheetId="2" r:id="rId2"/>
    <sheet name="LG&amp;E Pg. 3" sheetId="3" r:id="rId3"/>
    <sheet name="KU Pg. 1" sheetId="4" r:id="rId4"/>
    <sheet name="KU Pg. 2" sheetId="5" r:id="rId5"/>
    <sheet name="KU Pg. 3" sheetId="6" r:id="rId6"/>
  </sheets>
  <definedNames>
    <definedName name="_xlfn.BAHTTEXT" hidden="1">#NAME?</definedName>
    <definedName name="_xlnm.Print_Area" localSheetId="3">'KU Pg. 1'!$A$1:$H$36</definedName>
    <definedName name="_xlnm.Print_Area" localSheetId="4">'KU Pg. 2'!$A$1:$I$32</definedName>
    <definedName name="_xlnm.Print_Area" localSheetId="5">'KU Pg. 3'!$A$1:$H$38</definedName>
    <definedName name="_xlnm.Print_Area" localSheetId="0">'LG&amp;E Pg. 1'!$A$1:$H$38</definedName>
    <definedName name="_xlnm.Print_Area" localSheetId="1">'LG&amp;E Pg. 2'!$A$1:$I$32</definedName>
    <definedName name="_xlnm.Print_Area" localSheetId="2">'LG&amp;E Pg. 3'!$A$1:$H$38</definedName>
  </definedNames>
  <calcPr fullCalcOnLoad="1"/>
</workbook>
</file>

<file path=xl/sharedStrings.xml><?xml version="1.0" encoding="utf-8"?>
<sst xmlns="http://schemas.openxmlformats.org/spreadsheetml/2006/main" count="114" uniqueCount="56">
  <si>
    <t>LOUISVILLE GAS AND ELECTRIC COMPANY</t>
  </si>
  <si>
    <t>Calculation Of Attachment Charges for CATV</t>
  </si>
  <si>
    <t>Pole Size</t>
  </si>
  <si>
    <t>Quantity</t>
  </si>
  <si>
    <t>Installed Cost</t>
  </si>
  <si>
    <t>Average Installed Cost</t>
  </si>
  <si>
    <t>Weighted Average Bare Pole Cost as of 10/31/2009</t>
  </si>
  <si>
    <t>35'</t>
  </si>
  <si>
    <t>40'</t>
  </si>
  <si>
    <t>Three-User Poles</t>
  </si>
  <si>
    <t>45'</t>
  </si>
  <si>
    <t>Calculation Of Annual Carrying Charge</t>
  </si>
  <si>
    <t>Proposed Rate of Return</t>
  </si>
  <si>
    <t>Depreciation - Sinking Fund</t>
  </si>
  <si>
    <t xml:space="preserve">Income Tax (1) </t>
  </si>
  <si>
    <t>Property Tax and Insurance</t>
  </si>
  <si>
    <t>Operation and Maintenance (Page 3)</t>
  </si>
  <si>
    <t>Total</t>
  </si>
  <si>
    <t>(1) Derived from rates of equity capital</t>
  </si>
  <si>
    <t>Capitalization Ratio</t>
  </si>
  <si>
    <t>Composite Rate</t>
  </si>
  <si>
    <t>Annual Rate</t>
  </si>
  <si>
    <t xml:space="preserve">  Total Capitalization</t>
  </si>
  <si>
    <t xml:space="preserve">Composite Federal and State Income Taxes rate    = </t>
  </si>
  <si>
    <t>and Fixtures Subaccount</t>
  </si>
  <si>
    <t xml:space="preserve"> - Tree Trimming</t>
  </si>
  <si>
    <t>Total Labor</t>
  </si>
  <si>
    <t>Total Administrative and General Expenses</t>
  </si>
  <si>
    <t>Assignment of a Portion of A &amp; G Expenses to Poles</t>
  </si>
  <si>
    <t>Expenses Assigned to Poles</t>
  </si>
  <si>
    <t xml:space="preserve">   Maintenance of Poles, Towers, and Fixtures</t>
  </si>
  <si>
    <t>Subaccount 593001</t>
  </si>
  <si>
    <t xml:space="preserve">   Tree Trimming of Electric Distribution</t>
  </si>
  <si>
    <t>Routes 593004</t>
  </si>
  <si>
    <t xml:space="preserve">   A &amp; G Expenses Assigned to Poles</t>
  </si>
  <si>
    <t>Adder to Annual Carrying Charges for O &amp; M Expenses</t>
  </si>
  <si>
    <t xml:space="preserve">  Expenses Assigned to Poles</t>
  </si>
  <si>
    <t xml:space="preserve">  Plant in Service - Account 364 </t>
  </si>
  <si>
    <t>=</t>
  </si>
  <si>
    <t xml:space="preserve">Income Tax = </t>
  </si>
  <si>
    <t xml:space="preserve"> (1) Labor Charged to 593001- Maint of Poles, Towers</t>
  </si>
  <si>
    <t>Operation and Maintenance Expenses for</t>
  </si>
  <si>
    <t>the 12 Months Ended October 31, 2009</t>
  </si>
  <si>
    <t>Number of</t>
  </si>
  <si>
    <t>Attachments</t>
  </si>
  <si>
    <t>Weighted</t>
  </si>
  <si>
    <t>Cost</t>
  </si>
  <si>
    <t>KENTUCKY UTILITIES COMPANY</t>
  </si>
  <si>
    <t>the 12 Months Ended March 31, 2012</t>
  </si>
  <si>
    <t xml:space="preserve"> (1) Labor Charged to 593 - Poles, Towers</t>
  </si>
  <si>
    <t>Pole Cost (Space Factor determined from 3 user Pole)</t>
  </si>
  <si>
    <t>Annual Cost</t>
  </si>
  <si>
    <t>Annual</t>
  </si>
  <si>
    <t>Short Term Debt</t>
  </si>
  <si>
    <t>Long Term Debt</t>
  </si>
  <si>
    <t>Common Equity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</si>
</sst>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[$-409]dddd\,\ mmmm\ dd\,\ yyyy"/>
    <numFmt numFmtId="174" formatCode="[$-409]h:mm:ss\ AM/PM"/>
    <numFmt numFmtId="175" formatCode="0.000"/>
    <numFmt numFmtId="176" formatCode="0.0"/>
    <numFmt numFmtId="177" formatCode="&quot;$&quot;#,##0.0_);[Red]\(&quot;$&quot;#,##0.0\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#,##0.0000_);\(#,##0.000\)"/>
    <numFmt numFmtId="183" formatCode="&quot;$&quot;#,##0.000_);[Red]\(&quot;$&quot;#,##0.000\)"/>
    <numFmt numFmtId="184" formatCode="&quot;$&quot;#,##0.0000_);[Red]\(&quot;$&quot;#,##0.0000\)"/>
    <numFmt numFmtId="185" formatCode="_(&quot;$&quot;* #,##0.0000_);_(&quot;$&quot;* \(#,##0.0000\);_(&quot;$&quot;* &quot;-&quot;????_);_(@_)"/>
    <numFmt numFmtId="186" formatCode="0.0000000000000000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2" fontId="1" fillId="0" borderId="0" xfId="44" applyNumberFormat="1" applyFont="1" applyAlignment="1">
      <alignment/>
    </xf>
    <xf numFmtId="44" fontId="1" fillId="0" borderId="0" xfId="44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43" fontId="1" fillId="0" borderId="10" xfId="42" applyFont="1" applyBorder="1" applyAlignment="1">
      <alignment horizontal="right"/>
    </xf>
    <xf numFmtId="165" fontId="1" fillId="0" borderId="0" xfId="0" applyNumberFormat="1" applyFont="1" applyAlignment="1">
      <alignment/>
    </xf>
    <xf numFmtId="44" fontId="1" fillId="0" borderId="0" xfId="44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165" fontId="1" fillId="0" borderId="10" xfId="42" applyNumberFormat="1" applyFont="1" applyFill="1" applyBorder="1" applyAlignment="1">
      <alignment/>
    </xf>
    <xf numFmtId="43" fontId="1" fillId="0" borderId="10" xfId="0" applyNumberFormat="1" applyFont="1" applyBorder="1" applyAlignment="1">
      <alignment/>
    </xf>
    <xf numFmtId="44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  <xf numFmtId="165" fontId="1" fillId="0" borderId="11" xfId="0" applyNumberFormat="1" applyFont="1" applyBorder="1" applyAlignment="1">
      <alignment/>
    </xf>
    <xf numFmtId="172" fontId="1" fillId="0" borderId="11" xfId="44" applyNumberFormat="1" applyFont="1" applyBorder="1" applyAlignment="1">
      <alignment/>
    </xf>
    <xf numFmtId="10" fontId="1" fillId="0" borderId="0" xfId="0" applyNumberFormat="1" applyFont="1" applyAlignment="1">
      <alignment/>
    </xf>
    <xf numFmtId="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5" fontId="1" fillId="0" borderId="0" xfId="42" applyNumberFormat="1" applyFont="1" applyBorder="1" applyAlignment="1">
      <alignment/>
    </xf>
    <xf numFmtId="172" fontId="1" fillId="0" borderId="0" xfId="44" applyNumberFormat="1" applyFont="1" applyBorder="1" applyAlignment="1">
      <alignment/>
    </xf>
    <xf numFmtId="44" fontId="1" fillId="0" borderId="0" xfId="44" applyFont="1" applyBorder="1" applyAlignment="1">
      <alignment/>
    </xf>
    <xf numFmtId="165" fontId="1" fillId="0" borderId="0" xfId="42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42" applyFont="1" applyBorder="1" applyAlignment="1">
      <alignment/>
    </xf>
    <xf numFmtId="172" fontId="1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42" applyNumberFormat="1" applyFont="1" applyFill="1" applyAlignment="1">
      <alignment/>
    </xf>
    <xf numFmtId="6" fontId="1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57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43" fontId="1" fillId="0" borderId="0" xfId="42" applyFon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7" applyNumberFormat="1" applyFont="1" applyAlignment="1">
      <alignment horizontal="center"/>
    </xf>
    <xf numFmtId="43" fontId="1" fillId="0" borderId="10" xfId="42" applyFont="1" applyBorder="1" applyAlignment="1">
      <alignment/>
    </xf>
    <xf numFmtId="2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2" fontId="1" fillId="0" borderId="0" xfId="44" applyNumberFormat="1" applyFont="1" applyAlignment="1">
      <alignment/>
    </xf>
    <xf numFmtId="0" fontId="1" fillId="0" borderId="10" xfId="0" applyFont="1" applyBorder="1" applyAlignment="1">
      <alignment/>
    </xf>
    <xf numFmtId="184" fontId="1" fillId="0" borderId="0" xfId="0" applyNumberFormat="1" applyFont="1" applyAlignment="1">
      <alignment/>
    </xf>
    <xf numFmtId="0" fontId="39" fillId="0" borderId="0" xfId="0" applyFont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57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145" zoomScaleSheetLayoutView="145" workbookViewId="0" topLeftCell="A11">
      <selection activeCell="A9" sqref="A9"/>
    </sheetView>
  </sheetViews>
  <sheetFormatPr defaultColWidth="9.140625" defaultRowHeight="12.75"/>
  <cols>
    <col min="1" max="3" width="9.140625" style="1" customWidth="1"/>
    <col min="4" max="4" width="8.00390625" style="1" bestFit="1" customWidth="1"/>
    <col min="5" max="5" width="9.140625" style="1" customWidth="1"/>
    <col min="6" max="6" width="15.57421875" style="1" bestFit="1" customWidth="1"/>
    <col min="7" max="7" width="10.42187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0</v>
      </c>
      <c r="C1" s="65"/>
      <c r="D1" s="65"/>
      <c r="E1" s="65"/>
      <c r="F1" s="65"/>
      <c r="G1" s="65"/>
    </row>
    <row r="3" spans="3:6" ht="12.75">
      <c r="C3" s="66" t="s">
        <v>1</v>
      </c>
      <c r="D3" s="66"/>
      <c r="E3" s="66"/>
      <c r="F3" s="66"/>
    </row>
    <row r="4" spans="3:6" ht="12.75">
      <c r="C4" s="66"/>
      <c r="D4" s="66"/>
      <c r="E4" s="66"/>
      <c r="F4" s="66"/>
    </row>
    <row r="5" spans="3:6" ht="12.75">
      <c r="C5" s="66"/>
      <c r="D5" s="66"/>
      <c r="E5" s="66"/>
      <c r="F5" s="66"/>
    </row>
    <row r="7" ht="12.75">
      <c r="E7" s="3"/>
    </row>
    <row r="8" spans="2:8" ht="12.75" customHeight="1">
      <c r="B8" s="67" t="s">
        <v>2</v>
      </c>
      <c r="C8" s="5"/>
      <c r="D8" s="67" t="s">
        <v>3</v>
      </c>
      <c r="E8" s="6"/>
      <c r="F8" s="63" t="s">
        <v>4</v>
      </c>
      <c r="G8" s="5"/>
      <c r="H8" s="63" t="s">
        <v>5</v>
      </c>
    </row>
    <row r="9" spans="2:8" ht="12.75">
      <c r="B9" s="68"/>
      <c r="C9" s="5"/>
      <c r="D9" s="68"/>
      <c r="E9" s="6"/>
      <c r="F9" s="64"/>
      <c r="G9" s="5"/>
      <c r="H9" s="64"/>
    </row>
    <row r="12" ht="12.75">
      <c r="A12" s="8" t="s">
        <v>6</v>
      </c>
    </row>
    <row r="13" ht="12.75">
      <c r="A13" s="8"/>
    </row>
    <row r="14" spans="2:8" ht="12.75">
      <c r="B14" s="2" t="s">
        <v>7</v>
      </c>
      <c r="D14" s="6">
        <v>23130</v>
      </c>
      <c r="F14" s="9">
        <v>11527331.709999997</v>
      </c>
      <c r="H14" s="10">
        <f>F14/D14</f>
        <v>498.3714530912234</v>
      </c>
    </row>
    <row r="15" spans="1:8" ht="12.75">
      <c r="A15" s="8"/>
      <c r="B15" s="2" t="s">
        <v>8</v>
      </c>
      <c r="D15" s="11">
        <v>59477</v>
      </c>
      <c r="F15" s="12">
        <v>27701656.220000003</v>
      </c>
      <c r="H15" s="13">
        <f>F15/D15</f>
        <v>465.75409351514037</v>
      </c>
    </row>
    <row r="16" spans="4:8" ht="12.75">
      <c r="D16" s="14">
        <f>SUM(D14:D15)</f>
        <v>82607</v>
      </c>
      <c r="F16" s="9">
        <f>SUM(F14:F15)</f>
        <v>39228987.93</v>
      </c>
      <c r="H16" s="15">
        <f>F16/D16</f>
        <v>474.8869699904366</v>
      </c>
    </row>
    <row r="17" ht="12.75">
      <c r="G17" s="14"/>
    </row>
    <row r="19" spans="1:7" ht="12.75">
      <c r="A19" s="16" t="s">
        <v>9</v>
      </c>
      <c r="B19" s="17"/>
      <c r="G19" s="14"/>
    </row>
    <row r="21" spans="2:8" ht="12.75">
      <c r="B21" s="2" t="s">
        <v>8</v>
      </c>
      <c r="D21" s="6">
        <f>D15</f>
        <v>59477</v>
      </c>
      <c r="F21" s="9">
        <f>F15</f>
        <v>27701656.220000003</v>
      </c>
      <c r="G21" s="18"/>
      <c r="H21" s="10">
        <f>F21/D21</f>
        <v>465.75409351514037</v>
      </c>
    </row>
    <row r="22" spans="2:8" ht="12.75">
      <c r="B22" s="2" t="s">
        <v>10</v>
      </c>
      <c r="D22" s="19">
        <v>22454</v>
      </c>
      <c r="F22" s="12">
        <v>27726577.22</v>
      </c>
      <c r="H22" s="20">
        <f>F22/D22</f>
        <v>1234.8168353077401</v>
      </c>
    </row>
    <row r="23" spans="4:12" ht="12.75">
      <c r="D23" s="14">
        <f>SUM(D21:D22)</f>
        <v>81931</v>
      </c>
      <c r="F23" s="9">
        <f>SUM(F21:F22)</f>
        <v>55428233.44</v>
      </c>
      <c r="H23" s="10">
        <f>F23/D23</f>
        <v>676.523335977835</v>
      </c>
      <c r="J23" s="21">
        <f>H16*0.1224</f>
        <v>58.12616512682944</v>
      </c>
      <c r="K23" s="21">
        <f>J23*'LG&amp;E Pg. 2'!H13</f>
        <v>10.662858842618895</v>
      </c>
      <c r="L23" s="21">
        <f>K23/12</f>
        <v>0.8885715702182413</v>
      </c>
    </row>
    <row r="24" spans="10:12" ht="12.75">
      <c r="J24" s="21">
        <f>H23*0.0759</f>
        <v>51.34812120071768</v>
      </c>
      <c r="K24" s="21">
        <f>J24*'LG&amp;E Pg. 2'!H13</f>
        <v>9.419471712993158</v>
      </c>
      <c r="L24" s="21">
        <f>K24/12</f>
        <v>0.7849559760827631</v>
      </c>
    </row>
    <row r="25" spans="10:12" ht="12.75">
      <c r="J25" s="21"/>
      <c r="K25" s="21"/>
      <c r="L25" s="21"/>
    </row>
    <row r="26" spans="7:12" ht="12.75">
      <c r="G26" s="2"/>
      <c r="J26" s="21"/>
      <c r="K26" s="21"/>
      <c r="L26" s="21"/>
    </row>
    <row r="27" spans="7:8" ht="12.75">
      <c r="G27" s="2" t="s">
        <v>43</v>
      </c>
      <c r="H27" s="2" t="s">
        <v>45</v>
      </c>
    </row>
    <row r="28" spans="1:8" ht="12.75">
      <c r="A28" s="8"/>
      <c r="G28" s="7" t="s">
        <v>44</v>
      </c>
      <c r="H28" s="7" t="s">
        <v>46</v>
      </c>
    </row>
    <row r="30" spans="1:7" ht="12.75">
      <c r="A30" s="8" t="s">
        <v>50</v>
      </c>
      <c r="G30" s="3"/>
    </row>
    <row r="32" spans="2:7" ht="12.75">
      <c r="B32" s="17" t="str">
        <f>CONCATENATE("",TEXT(H23,"$0.00")," x .0759 Usage Space Factor = ",TEXT(J24,"$0.00"),"")</f>
        <v>$676.52 x .0759 Usage Space Factor = $51.35</v>
      </c>
      <c r="G32" s="14"/>
    </row>
    <row r="33" spans="2:8" ht="12.75">
      <c r="B33" s="17" t="str">
        <f>CONCATENATE("$  ",TEXT(J24,"0.00")," x ",TEXT('LG&amp;E Pg. 2'!H13,".0000")," Annual Carrying Charge = ",TEXT(K24,"$0.00"),"")</f>
        <v>$  51.35 x .1834 Annual Carrying Charge = $9.42</v>
      </c>
      <c r="G33" s="3">
        <v>86757</v>
      </c>
      <c r="H33" s="9">
        <f>G33*K24</f>
        <v>817205.1074041474</v>
      </c>
    </row>
    <row r="34" spans="2:8" ht="12.75">
      <c r="B34" s="17"/>
      <c r="G34" s="3"/>
      <c r="H34" s="9"/>
    </row>
    <row r="35" spans="3:8" ht="12.75">
      <c r="C35" s="17"/>
      <c r="H35" s="22"/>
    </row>
    <row r="36" spans="2:8" ht="12.75">
      <c r="B36" s="1" t="s">
        <v>17</v>
      </c>
      <c r="G36" s="23">
        <f>SUM(G30:G35)</f>
        <v>86757</v>
      </c>
      <c r="H36" s="24">
        <f>SUM(H30:H35)</f>
        <v>817205.1074041474</v>
      </c>
    </row>
    <row r="38" spans="2:8" ht="12.75">
      <c r="B38" s="1" t="s">
        <v>51</v>
      </c>
      <c r="G38" s="14"/>
      <c r="H38" s="10">
        <f>H36/G36</f>
        <v>9.419471712993158</v>
      </c>
    </row>
    <row r="39" ht="12.75">
      <c r="G39" s="18"/>
    </row>
    <row r="41" spans="7:8" ht="12.75">
      <c r="G41" s="14"/>
      <c r="H41" s="22"/>
    </row>
    <row r="43" ht="12.75">
      <c r="H43" s="25"/>
    </row>
  </sheetData>
  <sheetProtection/>
  <mergeCells count="8">
    <mergeCell ref="H8:H9"/>
    <mergeCell ref="B1:G1"/>
    <mergeCell ref="C3:F3"/>
    <mergeCell ref="C4:F4"/>
    <mergeCell ref="C5:F5"/>
    <mergeCell ref="F8:F9"/>
    <mergeCell ref="D8:D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15.00390625" style="1" customWidth="1"/>
    <col min="2" max="2" width="5.00390625" style="1" bestFit="1" customWidth="1"/>
    <col min="3" max="3" width="12.00390625" style="1" customWidth="1"/>
    <col min="4" max="4" width="7.57421875" style="1" customWidth="1"/>
    <col min="5" max="5" width="9.140625" style="1" customWidth="1"/>
    <col min="6" max="6" width="7.8515625" style="1" customWidth="1"/>
    <col min="7" max="7" width="10.00390625" style="1" customWidth="1"/>
    <col min="8" max="8" width="7.421875" style="1" bestFit="1" customWidth="1"/>
    <col min="9" max="16384" width="9.140625" style="1" customWidth="1"/>
  </cols>
  <sheetData>
    <row r="1" spans="2:7" ht="12.75">
      <c r="B1" s="65" t="s">
        <v>0</v>
      </c>
      <c r="C1" s="65"/>
      <c r="D1" s="65"/>
      <c r="E1" s="65"/>
      <c r="F1" s="65"/>
      <c r="G1" s="65"/>
    </row>
    <row r="3" spans="3:6" ht="12.75">
      <c r="C3" s="66" t="s">
        <v>11</v>
      </c>
      <c r="D3" s="66"/>
      <c r="E3" s="66"/>
      <c r="F3" s="66"/>
    </row>
    <row r="4" spans="3:6" ht="12.75">
      <c r="C4" s="5"/>
      <c r="D4" s="5"/>
      <c r="E4" s="5"/>
      <c r="F4" s="5"/>
    </row>
    <row r="5" spans="3:6" ht="12.75">
      <c r="C5" s="5"/>
      <c r="D5" s="5"/>
      <c r="E5" s="5"/>
      <c r="F5" s="5"/>
    </row>
    <row r="7" spans="1:8" ht="12.75">
      <c r="A7" s="1" t="s">
        <v>12</v>
      </c>
      <c r="E7" s="3"/>
      <c r="H7" s="47">
        <f>G27</f>
        <v>0.07797208</v>
      </c>
    </row>
    <row r="8" spans="1:9" ht="12.75" customHeight="1">
      <c r="A8" s="1" t="s">
        <v>13</v>
      </c>
      <c r="B8" s="27"/>
      <c r="C8" s="5"/>
      <c r="D8" s="27"/>
      <c r="E8" s="27"/>
      <c r="F8" s="27"/>
      <c r="G8" s="27"/>
      <c r="H8" s="47">
        <f>-PMT(G27,35,1)-H7</f>
        <v>0.006070680392553887</v>
      </c>
      <c r="I8" s="27"/>
    </row>
    <row r="9" spans="1:10" ht="12.75">
      <c r="A9" s="1" t="s">
        <v>14</v>
      </c>
      <c r="B9" s="27"/>
      <c r="C9" s="5"/>
      <c r="D9" s="27"/>
      <c r="E9" s="27"/>
      <c r="F9" s="27"/>
      <c r="G9" s="27"/>
      <c r="H9" s="47">
        <f>J9</f>
        <v>0.03651514472980649</v>
      </c>
      <c r="J9" s="1">
        <f>(F30/(1-F30))*G25</f>
        <v>0.03651514472980649</v>
      </c>
    </row>
    <row r="10" spans="1:9" ht="12.75">
      <c r="A10" s="1" t="s">
        <v>15</v>
      </c>
      <c r="H10" s="49">
        <v>0.0022</v>
      </c>
      <c r="I10" s="22"/>
    </row>
    <row r="11" spans="1:10" ht="12.75">
      <c r="A11" s="1" t="s">
        <v>16</v>
      </c>
      <c r="H11" s="50">
        <f>'LG&amp;E Pg. 3'!H36</f>
        <v>0.06068545157170119</v>
      </c>
      <c r="J11" s="60">
        <f>-PMT(0.0832,35,1)</f>
        <v>0.08860314126560563</v>
      </c>
    </row>
    <row r="12" ht="12.75">
      <c r="A12" s="8"/>
    </row>
    <row r="13" spans="1:8" ht="12.75">
      <c r="A13" s="8"/>
      <c r="B13" s="1" t="s">
        <v>17</v>
      </c>
      <c r="H13" s="51">
        <f>SUM(H7:H12)</f>
        <v>0.18344335669406156</v>
      </c>
    </row>
    <row r="14" spans="2:8" ht="12.75">
      <c r="B14" s="2"/>
      <c r="D14" s="6"/>
      <c r="F14" s="9"/>
      <c r="H14" s="10"/>
    </row>
    <row r="15" spans="1:8" ht="12.75">
      <c r="A15" s="1" t="s">
        <v>18</v>
      </c>
      <c r="B15" s="2"/>
      <c r="D15" s="31"/>
      <c r="E15" s="17"/>
      <c r="F15" s="34"/>
      <c r="G15" s="17"/>
      <c r="H15" s="35"/>
    </row>
    <row r="16" spans="4:8" ht="12.75">
      <c r="D16" s="36"/>
      <c r="E16" s="17"/>
      <c r="F16" s="34"/>
      <c r="G16" s="17"/>
      <c r="H16" s="35"/>
    </row>
    <row r="17" spans="7:8" ht="12.75">
      <c r="G17" s="14"/>
      <c r="H17" s="61"/>
    </row>
    <row r="19" spans="1:8" ht="12.75">
      <c r="A19" s="16"/>
      <c r="B19" s="17"/>
      <c r="C19" s="17"/>
      <c r="D19" s="17"/>
      <c r="E19" s="17"/>
      <c r="F19" s="17"/>
      <c r="G19" s="36"/>
      <c r="H19" s="17"/>
    </row>
    <row r="20" spans="2:8" ht="12.75">
      <c r="B20" s="17"/>
      <c r="C20" s="63" t="s">
        <v>19</v>
      </c>
      <c r="E20" s="63" t="s">
        <v>21</v>
      </c>
      <c r="F20" s="17"/>
      <c r="G20" s="63" t="s">
        <v>20</v>
      </c>
      <c r="H20" s="17"/>
    </row>
    <row r="21" spans="2:8" ht="12.75">
      <c r="B21" s="4"/>
      <c r="C21" s="64"/>
      <c r="E21" s="64"/>
      <c r="F21" s="32"/>
      <c r="G21" s="64"/>
      <c r="H21" s="33"/>
    </row>
    <row r="22" spans="2:8" ht="12.75">
      <c r="B22" s="4"/>
      <c r="C22" s="17"/>
      <c r="D22" s="38"/>
      <c r="E22" s="17"/>
      <c r="F22" s="34"/>
      <c r="G22" s="17"/>
      <c r="H22" s="39"/>
    </row>
    <row r="23" spans="1:8" ht="12.75">
      <c r="A23" s="1" t="s">
        <v>53</v>
      </c>
      <c r="B23" s="4"/>
      <c r="C23" s="48">
        <v>0</v>
      </c>
      <c r="D23" s="38"/>
      <c r="E23" s="51">
        <v>0.0041</v>
      </c>
      <c r="F23" s="34"/>
      <c r="G23" s="51">
        <f>C23*E23</f>
        <v>0</v>
      </c>
      <c r="H23" s="39"/>
    </row>
    <row r="24" spans="1:7" ht="12.75">
      <c r="A24" s="1" t="s">
        <v>54</v>
      </c>
      <c r="C24" s="48">
        <v>0.4436</v>
      </c>
      <c r="E24" s="51">
        <v>0.0378</v>
      </c>
      <c r="G24" s="51">
        <f>C24*E24</f>
        <v>0.01676808</v>
      </c>
    </row>
    <row r="25" spans="1:7" ht="12.75">
      <c r="A25" s="1" t="s">
        <v>55</v>
      </c>
      <c r="C25" s="53">
        <v>0.5564</v>
      </c>
      <c r="E25" s="51">
        <v>0.11</v>
      </c>
      <c r="G25" s="53">
        <f>C25*E25</f>
        <v>0.061204</v>
      </c>
    </row>
    <row r="26" spans="3:7" ht="12.75">
      <c r="C26" s="47"/>
      <c r="E26" s="2"/>
      <c r="G26" s="51"/>
    </row>
    <row r="27" spans="1:7" ht="12.75">
      <c r="A27" s="1" t="s">
        <v>22</v>
      </c>
      <c r="C27" s="54">
        <f>SUM(C23:C25)</f>
        <v>1</v>
      </c>
      <c r="E27" s="2"/>
      <c r="G27" s="51">
        <f>G25+G24</f>
        <v>0.07797208</v>
      </c>
    </row>
    <row r="28" ht="12.75">
      <c r="G28" s="14"/>
    </row>
    <row r="30" spans="1:7" ht="12.75">
      <c r="A30" s="1" t="s">
        <v>23</v>
      </c>
      <c r="F30" s="62">
        <v>0.37367441999999995</v>
      </c>
      <c r="G30" s="18"/>
    </row>
    <row r="32" spans="1:7" ht="12.75">
      <c r="A32" s="1" t="s">
        <v>39</v>
      </c>
      <c r="B32" s="17" t="str">
        <f>CONCATENATE("  (",TEXT(F30,"0.0000"),"/(1-",TEXT(F30,"0.0000"),") x ",TEXT(G25,"0.0000")," = ",TEXT(J9,"0.00%"))</f>
        <v>  (0.3737/(1-0.3737) x 0.0612 = 3.65%</v>
      </c>
      <c r="G32" s="3"/>
    </row>
    <row r="34" ht="12.75">
      <c r="G34" s="3"/>
    </row>
    <row r="36" ht="12.75">
      <c r="G36" s="14"/>
    </row>
    <row r="38" ht="12.75">
      <c r="H38" s="22"/>
    </row>
    <row r="43" ht="12.75">
      <c r="G43" s="18"/>
    </row>
    <row r="45" ht="12.75">
      <c r="H45" s="22"/>
    </row>
    <row r="47" ht="12.75">
      <c r="H47" s="25"/>
    </row>
  </sheetData>
  <sheetProtection/>
  <mergeCells count="5">
    <mergeCell ref="C20:C21"/>
    <mergeCell ref="E20:E21"/>
    <mergeCell ref="G20:G21"/>
    <mergeCell ref="B1:G1"/>
    <mergeCell ref="C3:F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45" zoomScaleSheetLayoutView="145" workbookViewId="0" topLeftCell="A1">
      <selection activeCell="A9" sqref="A9"/>
    </sheetView>
  </sheetViews>
  <sheetFormatPr defaultColWidth="9.140625" defaultRowHeight="12.75"/>
  <cols>
    <col min="1" max="1" width="12.85156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12.8515625" style="1" bestFit="1" customWidth="1"/>
    <col min="7" max="7" width="9.57421875" style="1" bestFit="1" customWidth="1"/>
    <col min="8" max="8" width="15.57421875" style="1" bestFit="1" customWidth="1"/>
    <col min="9" max="9" width="12.28125" style="1" bestFit="1" customWidth="1"/>
    <col min="10" max="16384" width="9.140625" style="1" customWidth="1"/>
  </cols>
  <sheetData>
    <row r="1" spans="1:8" ht="12.75">
      <c r="A1" s="65" t="s">
        <v>0</v>
      </c>
      <c r="B1" s="65"/>
      <c r="C1" s="65"/>
      <c r="D1" s="65"/>
      <c r="E1" s="65"/>
      <c r="F1" s="65"/>
      <c r="G1" s="65"/>
      <c r="H1" s="65"/>
    </row>
    <row r="3" spans="1:8" ht="12.75">
      <c r="A3" s="66" t="s">
        <v>41</v>
      </c>
      <c r="B3" s="66"/>
      <c r="C3" s="66"/>
      <c r="D3" s="66"/>
      <c r="E3" s="66"/>
      <c r="F3" s="66"/>
      <c r="G3" s="66"/>
      <c r="H3" s="66"/>
    </row>
    <row r="4" spans="1:8" ht="12.75">
      <c r="A4" s="66" t="s">
        <v>48</v>
      </c>
      <c r="B4" s="66"/>
      <c r="C4" s="66"/>
      <c r="D4" s="66"/>
      <c r="E4" s="66"/>
      <c r="F4" s="66"/>
      <c r="G4" s="66"/>
      <c r="H4" s="66"/>
    </row>
    <row r="6" spans="3:6" ht="12.75">
      <c r="C6" s="66"/>
      <c r="D6" s="66"/>
      <c r="E6" s="66"/>
      <c r="F6" s="66"/>
    </row>
    <row r="7" spans="3:6" ht="12.75">
      <c r="C7" s="5"/>
      <c r="D7" s="5"/>
      <c r="E7" s="5"/>
      <c r="F7" s="5"/>
    </row>
    <row r="8" spans="3:6" ht="12.75">
      <c r="C8" s="5"/>
      <c r="D8" s="5"/>
      <c r="E8" s="5"/>
      <c r="F8" s="5"/>
    </row>
    <row r="9" ht="12.75">
      <c r="A9" s="1" t="s">
        <v>49</v>
      </c>
    </row>
    <row r="10" spans="2:6" ht="12.75">
      <c r="B10" s="1" t="s">
        <v>24</v>
      </c>
      <c r="E10" s="3"/>
      <c r="F10" s="41">
        <v>232933.71999999968</v>
      </c>
    </row>
    <row r="11" spans="2:8" ht="12.75" customHeight="1">
      <c r="B11" s="27" t="s">
        <v>25</v>
      </c>
      <c r="C11" s="5"/>
      <c r="D11" s="27"/>
      <c r="E11" s="6"/>
      <c r="F11" s="19">
        <v>276515.3399999997</v>
      </c>
      <c r="G11" s="5"/>
      <c r="H11" s="27"/>
    </row>
    <row r="12" spans="2:8" ht="12.75">
      <c r="B12" s="27"/>
      <c r="C12" s="5"/>
      <c r="D12" s="27"/>
      <c r="E12" s="6"/>
      <c r="F12" s="27"/>
      <c r="H12" s="58">
        <f>SUM(F10:F11)</f>
        <v>509449.05999999936</v>
      </c>
    </row>
    <row r="14" spans="1:8" ht="12.75">
      <c r="A14" s="1" t="s">
        <v>26</v>
      </c>
      <c r="H14" s="41">
        <v>63964274.95</v>
      </c>
    </row>
    <row r="16" spans="1:9" ht="12.75">
      <c r="A16" s="1" t="s">
        <v>27</v>
      </c>
      <c r="H16" s="9">
        <v>83493454.58000001</v>
      </c>
      <c r="I16" s="30"/>
    </row>
    <row r="17" spans="2:8" ht="12.75">
      <c r="B17" s="4"/>
      <c r="C17" s="17"/>
      <c r="D17" s="31"/>
      <c r="E17" s="17"/>
      <c r="F17" s="32"/>
      <c r="G17" s="17"/>
      <c r="H17" s="33"/>
    </row>
    <row r="18" spans="1:8" ht="12.75">
      <c r="A18" s="8"/>
      <c r="B18" s="4"/>
      <c r="C18" s="17"/>
      <c r="D18" s="31"/>
      <c r="E18" s="17"/>
      <c r="F18" s="34"/>
      <c r="G18" s="17"/>
      <c r="H18" s="35"/>
    </row>
    <row r="19" spans="1:8" ht="12.75">
      <c r="A19" s="8" t="s">
        <v>28</v>
      </c>
      <c r="B19" s="17"/>
      <c r="C19" s="17"/>
      <c r="D19" s="36"/>
      <c r="E19" s="17"/>
      <c r="F19" s="34"/>
      <c r="G19" s="17"/>
      <c r="H19" s="35"/>
    </row>
    <row r="20" ht="12.75">
      <c r="G20" s="14"/>
    </row>
    <row r="21" ht="12.75">
      <c r="A21" s="17" t="str">
        <f>CONCATENATE("  (",TEXT(H12,"$0,0"),"/",TEXT(H14,"$0,0"),") x ",TEXT(H16,"$0,0")," = ",TEXT(H30,"$0,0"))</f>
        <v>  ($509,449/$63,964,275) x $83,493,455 = $664,991</v>
      </c>
    </row>
    <row r="22" spans="2:7" ht="12.75">
      <c r="B22" s="17"/>
      <c r="G22" s="14"/>
    </row>
    <row r="24" spans="1:8" ht="12.75">
      <c r="A24" s="8" t="s">
        <v>29</v>
      </c>
      <c r="B24" s="4"/>
      <c r="C24" s="17"/>
      <c r="D24" s="31"/>
      <c r="E24" s="17"/>
      <c r="F24" s="32"/>
      <c r="G24" s="37"/>
      <c r="H24" s="33"/>
    </row>
    <row r="25" spans="2:8" ht="12.75">
      <c r="B25" s="17"/>
      <c r="C25" s="17"/>
      <c r="D25" s="38"/>
      <c r="E25" s="17"/>
      <c r="F25" s="34"/>
      <c r="G25" s="17"/>
      <c r="H25" s="39"/>
    </row>
    <row r="26" spans="1:8" ht="12.75">
      <c r="A26" s="1" t="s">
        <v>30</v>
      </c>
      <c r="B26" s="17"/>
      <c r="C26" s="17"/>
      <c r="D26" s="36"/>
      <c r="E26" s="4"/>
      <c r="F26" s="34"/>
      <c r="G26" s="17"/>
      <c r="H26" s="40"/>
    </row>
    <row r="27" spans="2:8" ht="12.75">
      <c r="B27" s="1" t="s">
        <v>31</v>
      </c>
      <c r="H27" s="41">
        <v>564286.0999999993</v>
      </c>
    </row>
    <row r="28" ht="12.75">
      <c r="A28" s="1" t="s">
        <v>32</v>
      </c>
    </row>
    <row r="29" spans="1:8" ht="12.75">
      <c r="A29" s="8"/>
      <c r="B29" s="1" t="s">
        <v>33</v>
      </c>
      <c r="H29" s="43">
        <v>7007224.640000005</v>
      </c>
    </row>
    <row r="30" spans="1:8" ht="12.75">
      <c r="A30" s="1" t="s">
        <v>34</v>
      </c>
      <c r="H30" s="12">
        <f>H12/H14*H16</f>
        <v>664990.9185273059</v>
      </c>
    </row>
    <row r="31" spans="2:8" ht="12.75">
      <c r="B31" s="1" t="s">
        <v>17</v>
      </c>
      <c r="G31" s="14"/>
      <c r="H31" s="45">
        <f>SUM(H27:H30)</f>
        <v>8236501.658527311</v>
      </c>
    </row>
    <row r="33" ht="12.75">
      <c r="G33" s="18"/>
    </row>
    <row r="34" ht="12.75">
      <c r="A34" s="8" t="s">
        <v>35</v>
      </c>
    </row>
    <row r="35" ht="12.75">
      <c r="G35" s="3"/>
    </row>
    <row r="36" spans="1:8" ht="12.75">
      <c r="A36" s="46">
        <f>H31</f>
        <v>8236501.658527311</v>
      </c>
      <c r="B36" s="59" t="s">
        <v>36</v>
      </c>
      <c r="C36" s="59"/>
      <c r="D36" s="59"/>
      <c r="E36" s="69" t="s">
        <v>38</v>
      </c>
      <c r="H36" s="70">
        <f>A36/A37</f>
        <v>0.06068545157170119</v>
      </c>
    </row>
    <row r="37" spans="1:8" ht="12.75">
      <c r="A37" s="43">
        <v>135724484.95</v>
      </c>
      <c r="B37" s="1" t="s">
        <v>37</v>
      </c>
      <c r="E37" s="69"/>
      <c r="G37" s="3"/>
      <c r="H37" s="70"/>
    </row>
    <row r="39" ht="12.75">
      <c r="G39" s="14"/>
    </row>
    <row r="41" ht="12.75">
      <c r="H41" s="22"/>
    </row>
    <row r="46" ht="12.75">
      <c r="G46" s="18"/>
    </row>
    <row r="48" ht="12.75">
      <c r="H48" s="22"/>
    </row>
    <row r="50" ht="12.75">
      <c r="H50" s="25"/>
    </row>
  </sheetData>
  <sheetProtection/>
  <mergeCells count="6">
    <mergeCell ref="E36:E37"/>
    <mergeCell ref="H36:H37"/>
    <mergeCell ref="C6:F6"/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workbookViewId="0" topLeftCell="A1">
      <selection activeCell="I11" sqref="I11"/>
    </sheetView>
  </sheetViews>
  <sheetFormatPr defaultColWidth="9.140625" defaultRowHeight="12.75"/>
  <cols>
    <col min="1" max="3" width="9.140625" style="1" customWidth="1"/>
    <col min="4" max="4" width="9.140625" style="1" bestFit="1" customWidth="1"/>
    <col min="5" max="5" width="9.140625" style="1" customWidth="1"/>
    <col min="6" max="6" width="12.8515625" style="1" bestFit="1" customWidth="1"/>
    <col min="7" max="7" width="11.0039062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47</v>
      </c>
      <c r="C1" s="65"/>
      <c r="D1" s="65"/>
      <c r="E1" s="65"/>
      <c r="F1" s="65"/>
      <c r="G1" s="65"/>
    </row>
    <row r="3" spans="3:6" ht="12.75">
      <c r="C3" s="66" t="s">
        <v>1</v>
      </c>
      <c r="D3" s="66"/>
      <c r="E3" s="66"/>
      <c r="F3" s="66"/>
    </row>
    <row r="4" spans="3:6" ht="12.75">
      <c r="C4" s="66"/>
      <c r="D4" s="66"/>
      <c r="E4" s="66"/>
      <c r="F4" s="66"/>
    </row>
    <row r="5" spans="3:6" ht="12.75">
      <c r="C5" s="66"/>
      <c r="D5" s="66"/>
      <c r="E5" s="66"/>
      <c r="F5" s="66"/>
    </row>
    <row r="7" ht="12.75">
      <c r="E7" s="3"/>
    </row>
    <row r="8" spans="2:8" ht="12.75" customHeight="1">
      <c r="B8" s="67" t="s">
        <v>2</v>
      </c>
      <c r="C8" s="5"/>
      <c r="D8" s="67" t="s">
        <v>3</v>
      </c>
      <c r="E8" s="6"/>
      <c r="F8" s="63" t="s">
        <v>4</v>
      </c>
      <c r="G8" s="5"/>
      <c r="H8" s="63" t="s">
        <v>5</v>
      </c>
    </row>
    <row r="9" spans="2:8" ht="12.75">
      <c r="B9" s="68"/>
      <c r="C9" s="5"/>
      <c r="D9" s="68"/>
      <c r="E9" s="6"/>
      <c r="F9" s="64"/>
      <c r="G9" s="5"/>
      <c r="H9" s="64"/>
    </row>
    <row r="12" ht="12.75">
      <c r="A12" s="8" t="s">
        <v>6</v>
      </c>
    </row>
    <row r="13" ht="12.75">
      <c r="A13" s="8"/>
    </row>
    <row r="14" spans="2:8" ht="12.75">
      <c r="B14" s="2" t="s">
        <v>7</v>
      </c>
      <c r="D14" s="6">
        <v>80229</v>
      </c>
      <c r="F14" s="9">
        <v>18144592.880000003</v>
      </c>
      <c r="H14" s="10">
        <f>F14/D14</f>
        <v>226.16002792007882</v>
      </c>
    </row>
    <row r="15" spans="1:8" ht="12.75">
      <c r="A15" s="8"/>
      <c r="B15" s="2" t="s">
        <v>8</v>
      </c>
      <c r="D15" s="11">
        <v>132480</v>
      </c>
      <c r="F15" s="12">
        <v>83496634.56</v>
      </c>
      <c r="H15" s="55">
        <f>F15/D15</f>
        <v>630.2584130434783</v>
      </c>
    </row>
    <row r="16" spans="4:8" ht="12.75">
      <c r="D16" s="14">
        <f>SUM(D14:D15)</f>
        <v>212709</v>
      </c>
      <c r="F16" s="3">
        <f>SUM(F14:F15)</f>
        <v>101641227.44</v>
      </c>
      <c r="H16" s="52">
        <f>F16/D16</f>
        <v>477.8416871876601</v>
      </c>
    </row>
    <row r="18" spans="1:7" ht="12.75">
      <c r="A18" s="16" t="s">
        <v>9</v>
      </c>
      <c r="B18" s="17"/>
      <c r="G18" s="14"/>
    </row>
    <row r="20" spans="2:8" ht="12.75">
      <c r="B20" s="2" t="s">
        <v>8</v>
      </c>
      <c r="D20" s="6">
        <f>D15</f>
        <v>132480</v>
      </c>
      <c r="F20" s="9">
        <f>F15</f>
        <v>83496634.56</v>
      </c>
      <c r="G20" s="18"/>
      <c r="H20" s="10">
        <f>F20/D20</f>
        <v>630.2584130434783</v>
      </c>
    </row>
    <row r="21" spans="2:8" ht="12.75">
      <c r="B21" s="2" t="s">
        <v>10</v>
      </c>
      <c r="D21" s="19">
        <v>61269</v>
      </c>
      <c r="F21" s="12">
        <v>54544544.550000004</v>
      </c>
      <c r="H21" s="20">
        <f>F21/D21</f>
        <v>890.2470180678647</v>
      </c>
    </row>
    <row r="22" spans="4:12" ht="12.75">
      <c r="D22" s="14">
        <f>SUM(D20:D21)</f>
        <v>193749</v>
      </c>
      <c r="F22" s="3">
        <f>SUM(F20:F21)</f>
        <v>138041179.11</v>
      </c>
      <c r="H22" s="52">
        <f>F22/D22</f>
        <v>712.4742791446666</v>
      </c>
      <c r="J22" s="56">
        <f>H16*0.1224</f>
        <v>58.48782251176959</v>
      </c>
      <c r="K22" s="56">
        <f>J22*'KU Pg. 2'!H13</f>
        <v>10.823602962937004</v>
      </c>
      <c r="L22" s="56">
        <f>K22/12</f>
        <v>0.9019669135780837</v>
      </c>
    </row>
    <row r="23" spans="10:12" ht="12.75">
      <c r="J23" s="57">
        <f>H22*0.0759</f>
        <v>54.076797787080196</v>
      </c>
      <c r="K23" s="57">
        <f>J23*'KU Pg. 2'!H13</f>
        <v>10.007310301842823</v>
      </c>
      <c r="L23" s="57">
        <f>K23/12</f>
        <v>0.8339425251535686</v>
      </c>
    </row>
    <row r="24" spans="7:12" ht="12.75">
      <c r="G24" s="2"/>
      <c r="J24" s="57"/>
      <c r="K24" s="57"/>
      <c r="L24" s="57"/>
    </row>
    <row r="25" spans="7:8" ht="12.75">
      <c r="G25" s="2" t="s">
        <v>43</v>
      </c>
      <c r="H25" s="2" t="s">
        <v>45</v>
      </c>
    </row>
    <row r="26" spans="1:8" ht="12.75" customHeight="1">
      <c r="A26" s="8"/>
      <c r="G26" s="7" t="s">
        <v>44</v>
      </c>
      <c r="H26" s="7" t="s">
        <v>46</v>
      </c>
    </row>
    <row r="28" spans="1:7" ht="12.75">
      <c r="A28" s="8" t="s">
        <v>50</v>
      </c>
      <c r="G28" s="3"/>
    </row>
    <row r="30" spans="2:7" ht="12.75">
      <c r="B30" s="17" t="str">
        <f>CONCATENATE("",TEXT(H22,"$0.00")," x .0759 Usage Space Factor = ",TEXT(J23,"$0.00"),"")</f>
        <v>$712.47 x .0759 Usage Space Factor = $54.08</v>
      </c>
      <c r="G30" s="14"/>
    </row>
    <row r="31" spans="2:8" ht="12.75">
      <c r="B31" s="17" t="str">
        <f>CONCATENATE("$  ",TEXT(J23,"0.00")," x ",TEXT('KU Pg. 2'!H13,".0000")," Annual Carrying Charge = ",TEXT(K23,"$0.00"),"")</f>
        <v>$  54.08 x .1851 Annual Carrying Charge = $10.01</v>
      </c>
      <c r="G31" s="3">
        <v>147879</v>
      </c>
      <c r="H31" s="3">
        <f>G31*K23</f>
        <v>1479871.0401262147</v>
      </c>
    </row>
    <row r="32" spans="2:8" ht="12.75">
      <c r="B32" s="17"/>
      <c r="G32" s="3"/>
      <c r="H32" s="9"/>
    </row>
    <row r="33" ht="12.75">
      <c r="H33" s="22"/>
    </row>
    <row r="34" spans="2:8" ht="12.75">
      <c r="B34" s="1" t="s">
        <v>17</v>
      </c>
      <c r="G34" s="23">
        <f>SUM(G28:G33)</f>
        <v>147879</v>
      </c>
      <c r="H34" s="24">
        <f>SUM(H28:H33)</f>
        <v>1479871.0401262147</v>
      </c>
    </row>
    <row r="35" ht="12.75">
      <c r="G35" s="14"/>
    </row>
    <row r="36" spans="2:8" ht="12.75">
      <c r="B36" s="1" t="s">
        <v>52</v>
      </c>
      <c r="G36" s="14"/>
      <c r="H36" s="10">
        <f>H34/G34</f>
        <v>10.007310301842823</v>
      </c>
    </row>
    <row r="40" ht="12.75">
      <c r="G40" s="18"/>
    </row>
    <row r="42" ht="12.75">
      <c r="H42" s="22"/>
    </row>
    <row r="44" ht="12.75">
      <c r="H44" s="25"/>
    </row>
    <row r="47" ht="12.75">
      <c r="B47" s="17"/>
    </row>
    <row r="48" ht="12.75">
      <c r="C48" s="17"/>
    </row>
    <row r="52" ht="12.75">
      <c r="B52" s="17"/>
    </row>
    <row r="53" ht="12.75">
      <c r="C53" s="17"/>
    </row>
  </sheetData>
  <sheetProtection/>
  <mergeCells count="8">
    <mergeCell ref="H8:H9"/>
    <mergeCell ref="B1:G1"/>
    <mergeCell ref="C3:F3"/>
    <mergeCell ref="C4:F4"/>
    <mergeCell ref="C5:F5"/>
    <mergeCell ref="B8:B9"/>
    <mergeCell ref="D8:D9"/>
    <mergeCell ref="F8:F9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90" zoomScaleSheetLayoutView="90" workbookViewId="0" topLeftCell="A1">
      <selection activeCell="I11" sqref="I11"/>
    </sheetView>
  </sheetViews>
  <sheetFormatPr defaultColWidth="9.140625" defaultRowHeight="12.75"/>
  <cols>
    <col min="1" max="1" width="12.28125" style="1" customWidth="1"/>
    <col min="2" max="2" width="5.00390625" style="1" bestFit="1" customWidth="1"/>
    <col min="3" max="3" width="12.00390625" style="1" customWidth="1"/>
    <col min="4" max="4" width="7.57421875" style="1" customWidth="1"/>
    <col min="5" max="5" width="9.140625" style="1" customWidth="1"/>
    <col min="6" max="6" width="7.8515625" style="1" customWidth="1"/>
    <col min="7" max="7" width="10.0039062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47</v>
      </c>
      <c r="C1" s="65"/>
      <c r="D1" s="65"/>
      <c r="E1" s="65"/>
      <c r="F1" s="65"/>
      <c r="G1" s="65"/>
    </row>
    <row r="3" spans="3:6" ht="12.75">
      <c r="C3" s="66" t="s">
        <v>11</v>
      </c>
      <c r="D3" s="66"/>
      <c r="E3" s="66"/>
      <c r="F3" s="66"/>
    </row>
    <row r="4" spans="3:6" ht="12.75">
      <c r="C4" s="5"/>
      <c r="D4" s="5"/>
      <c r="E4" s="5"/>
      <c r="F4" s="5"/>
    </row>
    <row r="5" spans="3:6" ht="12.75">
      <c r="C5" s="5"/>
      <c r="D5" s="5"/>
      <c r="E5" s="5"/>
      <c r="F5" s="5"/>
    </row>
    <row r="7" spans="1:8" ht="12.75">
      <c r="A7" s="1" t="s">
        <v>12</v>
      </c>
      <c r="E7" s="3"/>
      <c r="H7" s="47">
        <f>G27</f>
        <v>0.0761547</v>
      </c>
    </row>
    <row r="8" spans="1:9" ht="12.75" customHeight="1">
      <c r="A8" s="1" t="s">
        <v>13</v>
      </c>
      <c r="B8" s="27"/>
      <c r="C8" s="5"/>
      <c r="D8" s="27"/>
      <c r="E8" s="27"/>
      <c r="F8" s="27"/>
      <c r="G8" s="27"/>
      <c r="H8" s="48">
        <f>-PMT(G27,35,1)-H7</f>
        <v>0.006319825530402362</v>
      </c>
      <c r="I8" s="27"/>
    </row>
    <row r="9" spans="1:10" ht="12.75">
      <c r="A9" s="1" t="s">
        <v>14</v>
      </c>
      <c r="B9" s="27"/>
      <c r="C9" s="5"/>
      <c r="D9" s="27"/>
      <c r="E9" s="27"/>
      <c r="F9" s="27"/>
      <c r="G9" s="27"/>
      <c r="H9" s="47">
        <f>J9</f>
        <v>0.03431731785362522</v>
      </c>
      <c r="J9" s="1">
        <f>(F30/(1-F30))*G25</f>
        <v>0.03431731785362522</v>
      </c>
    </row>
    <row r="10" spans="1:9" ht="12.75">
      <c r="A10" s="1" t="s">
        <v>15</v>
      </c>
      <c r="H10" s="49">
        <v>0.0022</v>
      </c>
      <c r="I10" s="22"/>
    </row>
    <row r="11" spans="1:8" ht="12.75">
      <c r="A11" s="1" t="s">
        <v>16</v>
      </c>
      <c r="H11" s="50">
        <f>'KU Pg. 3'!H36</f>
        <v>0.06606553263230391</v>
      </c>
    </row>
    <row r="12" ht="12.75">
      <c r="A12" s="8"/>
    </row>
    <row r="13" spans="1:8" ht="12.75">
      <c r="A13" s="8"/>
      <c r="B13" s="1" t="s">
        <v>17</v>
      </c>
      <c r="H13" s="51">
        <f>SUM(H7:H12)</f>
        <v>0.1850573760163315</v>
      </c>
    </row>
    <row r="14" spans="2:8" ht="12.75">
      <c r="B14" s="2"/>
      <c r="D14" s="6"/>
      <c r="F14" s="9"/>
      <c r="H14" s="10"/>
    </row>
    <row r="15" spans="1:8" ht="12.75">
      <c r="A15" s="1" t="s">
        <v>18</v>
      </c>
      <c r="B15" s="2"/>
      <c r="D15" s="31"/>
      <c r="E15" s="17"/>
      <c r="F15" s="34"/>
      <c r="G15" s="17"/>
      <c r="H15" s="35"/>
    </row>
    <row r="16" spans="4:8" ht="12.75">
      <c r="D16" s="36"/>
      <c r="E16" s="17"/>
      <c r="F16" s="34"/>
      <c r="G16" s="17"/>
      <c r="H16" s="35"/>
    </row>
    <row r="17" ht="12.75">
      <c r="G17" s="14"/>
    </row>
    <row r="19" spans="1:8" ht="12.75">
      <c r="A19" s="16"/>
      <c r="B19" s="17"/>
      <c r="C19" s="17"/>
      <c r="D19" s="17"/>
      <c r="E19" s="17"/>
      <c r="F19" s="17"/>
      <c r="G19" s="36"/>
      <c r="H19" s="17"/>
    </row>
    <row r="20" spans="2:8" ht="12.75">
      <c r="B20" s="17"/>
      <c r="C20" s="63" t="s">
        <v>19</v>
      </c>
      <c r="E20" s="63" t="s">
        <v>21</v>
      </c>
      <c r="F20" s="17"/>
      <c r="G20" s="63" t="s">
        <v>20</v>
      </c>
      <c r="H20" s="17"/>
    </row>
    <row r="21" spans="2:8" ht="12.75">
      <c r="B21" s="4"/>
      <c r="C21" s="64"/>
      <c r="E21" s="64"/>
      <c r="F21" s="32"/>
      <c r="G21" s="64"/>
      <c r="H21" s="33"/>
    </row>
    <row r="22" spans="2:8" ht="12.75">
      <c r="B22" s="4"/>
      <c r="C22" s="17"/>
      <c r="D22" s="38"/>
      <c r="E22" s="17"/>
      <c r="F22" s="34"/>
      <c r="G22" s="17"/>
      <c r="H22" s="39"/>
    </row>
    <row r="23" spans="1:8" ht="12.75">
      <c r="A23" s="1" t="s">
        <v>53</v>
      </c>
      <c r="B23" s="4"/>
      <c r="C23" s="48">
        <v>0</v>
      </c>
      <c r="D23" s="38"/>
      <c r="E23" s="51">
        <v>0.0041</v>
      </c>
      <c r="F23" s="34"/>
      <c r="G23" s="51">
        <f>C23*E23</f>
        <v>0</v>
      </c>
      <c r="H23" s="39"/>
    </row>
    <row r="24" spans="1:7" ht="12.75">
      <c r="A24" s="1" t="s">
        <v>54</v>
      </c>
      <c r="C24" s="48">
        <v>0.463</v>
      </c>
      <c r="E24" s="51">
        <v>0.0369</v>
      </c>
      <c r="G24" s="51">
        <f>C24*E24</f>
        <v>0.0170847</v>
      </c>
    </row>
    <row r="25" spans="1:7" ht="12.75">
      <c r="A25" s="1" t="s">
        <v>55</v>
      </c>
      <c r="C25" s="53">
        <v>0.537</v>
      </c>
      <c r="E25" s="51">
        <v>0.11</v>
      </c>
      <c r="G25" s="53">
        <f>C25*E25</f>
        <v>0.059070000000000004</v>
      </c>
    </row>
    <row r="26" spans="3:7" ht="12.75">
      <c r="C26" s="47"/>
      <c r="E26" s="2"/>
      <c r="G26" s="51"/>
    </row>
    <row r="27" spans="1:7" ht="12.75">
      <c r="A27" s="1" t="s">
        <v>22</v>
      </c>
      <c r="C27" s="54">
        <f>SUM(C23:C25)</f>
        <v>1</v>
      </c>
      <c r="E27" s="2"/>
      <c r="G27" s="54">
        <f>SUM(G23:G25)</f>
        <v>0.0761547</v>
      </c>
    </row>
    <row r="28" ht="12.75">
      <c r="G28" s="14"/>
    </row>
    <row r="30" spans="1:7" ht="12.75">
      <c r="A30" s="1" t="s">
        <v>23</v>
      </c>
      <c r="F30" s="51">
        <v>0.367473</v>
      </c>
      <c r="G30" s="18"/>
    </row>
    <row r="32" spans="1:7" ht="12.75">
      <c r="A32" s="1" t="s">
        <v>39</v>
      </c>
      <c r="B32" s="17" t="str">
        <f>CONCATENATE("  (",TEXT(F30,"0.0000"),"/(1-",TEXT(F30,"0.0000"),") x ",TEXT(G25,"0.0000")," = ",TEXT(J9,"0.00%"))</f>
        <v>  (0.3675/(1-0.3675) x 0.0591 = 3.43%</v>
      </c>
      <c r="G32" s="3"/>
    </row>
    <row r="34" ht="12.75">
      <c r="G34" s="3"/>
    </row>
    <row r="36" ht="12.75">
      <c r="G36" s="14"/>
    </row>
    <row r="38" ht="12.75">
      <c r="H38" s="22"/>
    </row>
    <row r="43" ht="12.75">
      <c r="G43" s="18"/>
    </row>
    <row r="45" ht="12.75">
      <c r="H45" s="22"/>
    </row>
    <row r="47" ht="12.75">
      <c r="H47" s="25"/>
    </row>
  </sheetData>
  <sheetProtection/>
  <mergeCells count="5">
    <mergeCell ref="B1:G1"/>
    <mergeCell ref="C3:F3"/>
    <mergeCell ref="C20:C21"/>
    <mergeCell ref="E20:E21"/>
    <mergeCell ref="G20:G21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45" zoomScaleSheetLayoutView="145" workbookViewId="0" topLeftCell="A1">
      <selection activeCell="I11" sqref="I11"/>
    </sheetView>
  </sheetViews>
  <sheetFormatPr defaultColWidth="9.140625" defaultRowHeight="12.75"/>
  <cols>
    <col min="1" max="1" width="14.281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12.8515625" style="1" bestFit="1" customWidth="1"/>
    <col min="7" max="7" width="9.57421875" style="1" bestFit="1" customWidth="1"/>
    <col min="8" max="8" width="14.57421875" style="1" bestFit="1" customWidth="1"/>
    <col min="9" max="9" width="12.28125" style="1" bestFit="1" customWidth="1"/>
    <col min="10" max="16384" width="9.140625" style="1" customWidth="1"/>
  </cols>
  <sheetData>
    <row r="1" spans="1:8" ht="12.75">
      <c r="A1" s="65" t="s">
        <v>47</v>
      </c>
      <c r="B1" s="65"/>
      <c r="C1" s="65"/>
      <c r="D1" s="65"/>
      <c r="E1" s="65"/>
      <c r="F1" s="65"/>
      <c r="G1" s="65"/>
      <c r="H1" s="65"/>
    </row>
    <row r="3" spans="1:8" ht="12.75">
      <c r="A3" s="66" t="s">
        <v>41</v>
      </c>
      <c r="B3" s="66"/>
      <c r="C3" s="66"/>
      <c r="D3" s="66"/>
      <c r="E3" s="66"/>
      <c r="F3" s="66"/>
      <c r="G3" s="66"/>
      <c r="H3" s="66"/>
    </row>
    <row r="4" spans="1:8" ht="12.75">
      <c r="A4" s="66" t="s">
        <v>42</v>
      </c>
      <c r="B4" s="66"/>
      <c r="C4" s="66"/>
      <c r="D4" s="66"/>
      <c r="E4" s="66"/>
      <c r="F4" s="66"/>
      <c r="G4" s="66"/>
      <c r="H4" s="66"/>
    </row>
    <row r="5" ht="12.75">
      <c r="F5" s="2"/>
    </row>
    <row r="8" spans="3:6" ht="12.75">
      <c r="C8" s="5"/>
      <c r="D8" s="5"/>
      <c r="E8" s="5"/>
      <c r="F8" s="5"/>
    </row>
    <row r="9" ht="12.75">
      <c r="A9" s="1" t="s">
        <v>40</v>
      </c>
    </row>
    <row r="10" spans="2:6" ht="12.75">
      <c r="B10" s="1" t="s">
        <v>24</v>
      </c>
      <c r="E10" s="3"/>
      <c r="F10" s="26">
        <v>384791.9099999994</v>
      </c>
    </row>
    <row r="11" spans="2:8" ht="12.75" customHeight="1">
      <c r="B11" s="27" t="s">
        <v>25</v>
      </c>
      <c r="C11" s="5"/>
      <c r="D11" s="27"/>
      <c r="E11" s="6"/>
      <c r="F11" s="19">
        <v>734181.5999999976</v>
      </c>
      <c r="G11" s="5"/>
      <c r="H11" s="27"/>
    </row>
    <row r="12" spans="2:8" ht="12.75">
      <c r="B12" s="27"/>
      <c r="C12" s="5"/>
      <c r="D12" s="27"/>
      <c r="E12" s="6"/>
      <c r="F12" s="27"/>
      <c r="H12" s="28">
        <f>SUM(F10:F11)</f>
        <v>1118973.509999997</v>
      </c>
    </row>
    <row r="14" spans="1:8" ht="12.75">
      <c r="A14" s="1" t="s">
        <v>26</v>
      </c>
      <c r="H14" s="29">
        <v>135498603.05840203</v>
      </c>
    </row>
    <row r="16" spans="1:9" ht="12.75">
      <c r="A16" s="1" t="s">
        <v>27</v>
      </c>
      <c r="H16" s="29">
        <v>93031575.56271204</v>
      </c>
      <c r="I16" s="30"/>
    </row>
    <row r="17" spans="2:8" ht="12.75">
      <c r="B17" s="4"/>
      <c r="C17" s="17"/>
      <c r="D17" s="31"/>
      <c r="E17" s="17"/>
      <c r="F17" s="32"/>
      <c r="G17" s="17"/>
      <c r="H17" s="33"/>
    </row>
    <row r="18" spans="1:8" ht="12.75">
      <c r="A18" s="8"/>
      <c r="B18" s="4"/>
      <c r="C18" s="17"/>
      <c r="D18" s="31"/>
      <c r="E18" s="17"/>
      <c r="F18" s="34"/>
      <c r="G18" s="17"/>
      <c r="H18" s="35"/>
    </row>
    <row r="19" spans="1:8" ht="12.75">
      <c r="A19" s="8" t="s">
        <v>28</v>
      </c>
      <c r="B19" s="17"/>
      <c r="C19" s="17"/>
      <c r="D19" s="36"/>
      <c r="E19" s="17"/>
      <c r="F19" s="34"/>
      <c r="G19" s="17"/>
      <c r="H19" s="35"/>
    </row>
    <row r="20" ht="12.75">
      <c r="G20" s="14"/>
    </row>
    <row r="21" ht="12.75">
      <c r="A21" s="17" t="str">
        <f>CONCATENATE("  (",TEXT(H12,"$0,0"),"/",TEXT(H14,"$0,0"),") x ",TEXT(H16,"$0,0")," = ",TEXT(H30,"$0,0"))</f>
        <v>  ($1,118,974/$135,498,603) x $93,031,576 = $768,273</v>
      </c>
    </row>
    <row r="22" spans="2:7" ht="12.75">
      <c r="B22" s="17"/>
      <c r="G22" s="14"/>
    </row>
    <row r="24" spans="1:8" ht="12.75">
      <c r="A24" s="8" t="s">
        <v>29</v>
      </c>
      <c r="B24" s="4"/>
      <c r="C24" s="17"/>
      <c r="D24" s="31"/>
      <c r="E24" s="17"/>
      <c r="F24" s="32"/>
      <c r="G24" s="37"/>
      <c r="H24" s="33"/>
    </row>
    <row r="25" spans="2:8" ht="12.75">
      <c r="B25" s="17"/>
      <c r="C25" s="17"/>
      <c r="D25" s="38"/>
      <c r="E25" s="17"/>
      <c r="F25" s="34"/>
      <c r="G25" s="17"/>
      <c r="H25" s="39"/>
    </row>
    <row r="26" spans="1:8" ht="12.75">
      <c r="A26" s="1" t="s">
        <v>30</v>
      </c>
      <c r="B26" s="17"/>
      <c r="C26" s="17"/>
      <c r="D26" s="36"/>
      <c r="E26" s="4"/>
      <c r="F26" s="34"/>
      <c r="G26" s="17"/>
      <c r="H26" s="40"/>
    </row>
    <row r="27" spans="2:8" ht="12.75">
      <c r="B27" s="1" t="s">
        <v>31</v>
      </c>
      <c r="H27" s="41">
        <v>773791.8399999986</v>
      </c>
    </row>
    <row r="28" spans="1:8" ht="12.75">
      <c r="A28" s="1" t="s">
        <v>32</v>
      </c>
      <c r="H28" s="42"/>
    </row>
    <row r="29" spans="1:8" ht="12.75">
      <c r="A29" s="8"/>
      <c r="B29" s="1" t="s">
        <v>33</v>
      </c>
      <c r="H29" s="43">
        <v>16546569.439999972</v>
      </c>
    </row>
    <row r="30" spans="1:8" ht="12.75">
      <c r="A30" s="1" t="s">
        <v>34</v>
      </c>
      <c r="H30" s="44">
        <f>H12/H14*H16</f>
        <v>768272.6338024987</v>
      </c>
    </row>
    <row r="31" spans="2:8" ht="12.75">
      <c r="B31" s="1" t="s">
        <v>17</v>
      </c>
      <c r="G31" s="14"/>
      <c r="H31" s="45">
        <f>SUM(H27:H30)</f>
        <v>18088633.91380247</v>
      </c>
    </row>
    <row r="33" ht="12.75">
      <c r="G33" s="18"/>
    </row>
    <row r="34" ht="12.75">
      <c r="A34" s="8" t="s">
        <v>35</v>
      </c>
    </row>
    <row r="35" ht="12.75">
      <c r="G35" s="3"/>
    </row>
    <row r="36" spans="1:8" ht="12.75">
      <c r="A36" s="46">
        <f>H31</f>
        <v>18088633.91380247</v>
      </c>
      <c r="B36" s="1" t="s">
        <v>36</v>
      </c>
      <c r="E36" s="69" t="s">
        <v>38</v>
      </c>
      <c r="H36" s="70">
        <f>A36/A37</f>
        <v>0.06606553263230391</v>
      </c>
    </row>
    <row r="37" spans="1:8" ht="12.75">
      <c r="A37" s="3">
        <v>273798351.32</v>
      </c>
      <c r="B37" s="1" t="s">
        <v>37</v>
      </c>
      <c r="E37" s="69"/>
      <c r="G37" s="3"/>
      <c r="H37" s="70"/>
    </row>
    <row r="39" ht="12.75">
      <c r="G39" s="14"/>
    </row>
    <row r="41" ht="12.75">
      <c r="H41" s="22"/>
    </row>
    <row r="46" ht="12.75">
      <c r="G46" s="18"/>
    </row>
    <row r="48" ht="12.75">
      <c r="H48" s="22"/>
    </row>
    <row r="50" ht="12.75">
      <c r="H50" s="25"/>
    </row>
  </sheetData>
  <sheetProtection/>
  <mergeCells count="5">
    <mergeCell ref="E36:E37"/>
    <mergeCell ref="H36:H37"/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McGee, Dawn</cp:lastModifiedBy>
  <cp:lastPrinted>2012-06-07T20:41:25Z</cp:lastPrinted>
  <dcterms:created xsi:type="dcterms:W3CDTF">2002-01-10T15:58:51Z</dcterms:created>
  <dcterms:modified xsi:type="dcterms:W3CDTF">2012-08-09T14:54:00Z</dcterms:modified>
  <cp:category/>
  <cp:version/>
  <cp:contentType/>
  <cp:contentStatus/>
</cp:coreProperties>
</file>