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440" windowHeight="9435"/>
  </bookViews>
  <sheets>
    <sheet name="Total System - Unit Demand Cost" sheetId="1" r:id="rId1"/>
    <sheet name="Primary Dist. Unit Costs" sheetId="2" r:id="rId2"/>
    <sheet name="Secondary Dist. Unit Costs" sheetId="3" r:id="rId3"/>
    <sheet name="Demand Calc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" localSheetId="1">[1]EGSplit!#REF!</definedName>
    <definedName name="\" localSheetId="2">[1]EGSplit!#REF!</definedName>
    <definedName name="\" localSheetId="0">[1]EGSplit!#REF!</definedName>
    <definedName name="\">[1]EGSplit!#REF!</definedName>
    <definedName name="\\" hidden="1">#REF!</definedName>
    <definedName name="\\\" hidden="1">#REF!</definedName>
    <definedName name="\\\\" localSheetId="1" hidden="1">#REF!</definedName>
    <definedName name="\\\\" localSheetId="2" hidden="1">#REF!</definedName>
    <definedName name="\\\\" localSheetId="0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1">[2]dbase!#REF!</definedName>
    <definedName name="\P" localSheetId="2">[2]dbase!#REF!</definedName>
    <definedName name="\P" localSheetId="0">[2]dbase!#REF!</definedName>
    <definedName name="\P">[2]dbase!#REF!</definedName>
    <definedName name="\R" localSheetId="1">#REF!</definedName>
    <definedName name="\R" localSheetId="2">#REF!</definedName>
    <definedName name="\R" localSheetId="0">#REF!</definedName>
    <definedName name="\R">#REF!</definedName>
    <definedName name="\S" localSheetId="1">[2]dbase!#REF!</definedName>
    <definedName name="\S" localSheetId="2">[2]dbase!#REF!</definedName>
    <definedName name="\S" localSheetId="0">[2]dbase!#REF!</definedName>
    <definedName name="\S">[2]dbase!#REF!</definedName>
    <definedName name="\T">#REF!</definedName>
    <definedName name="\Y" localSheetId="1">[3]d20!#REF!</definedName>
    <definedName name="\Y" localSheetId="2">[3]d20!#REF!</definedName>
    <definedName name="\Y" localSheetId="0">[3]d20!#REF!</definedName>
    <definedName name="\Y">[3]d20!#REF!</definedName>
    <definedName name="__123Graph_A" hidden="1">#REF!</definedName>
    <definedName name="__123Graph_B" hidden="1">#REF!</definedName>
    <definedName name="__123Graph_C" localSheetId="1" hidden="1">#REF!</definedName>
    <definedName name="__123Graph_C" localSheetId="2" hidden="1">#REF!</definedName>
    <definedName name="__123Graph_C" localSheetId="0" hidden="1">#REF!</definedName>
    <definedName name="__123Graph_C" hidden="1">#REF!</definedName>
    <definedName name="__123Graph_D" hidden="1">#REF!</definedName>
    <definedName name="__123Graph_E" localSheetId="1" hidden="1">#REF!</definedName>
    <definedName name="__123Graph_E" localSheetId="2" hidden="1">#REF!</definedName>
    <definedName name="__123Graph_E" localSheetId="0" hidden="1">#REF!</definedName>
    <definedName name="__123Graph_E" hidden="1">#REF!</definedName>
    <definedName name="__123Graph_F" hidden="1">#REF!</definedName>
    <definedName name="__123Graph_X" hidden="1">#REF!</definedName>
    <definedName name="__bdd4444">'[4]LGE Sales'!#REF!</definedName>
    <definedName name="__may1">#REF!</definedName>
    <definedName name="__mm66666">'[4]LGE Retail Margin'!#REF!</definedName>
    <definedName name="__nn00777">'[4]LGE Retail Margin'!#REF!</definedName>
    <definedName name="__nn6777">'[4]LGE Retail Margin'!#REF!</definedName>
    <definedName name="__nn77777">'[4]LGE Retail Margin'!#REF!</definedName>
    <definedName name="__nnn6777">#REF!</definedName>
    <definedName name="__nnn7777">#REF!</definedName>
    <definedName name="__nnn78777">#REF!</definedName>
    <definedName name="__PG1">#REF!</definedName>
    <definedName name="__PG2">#REF!</definedName>
    <definedName name="_1GAS_FINANCING">#REF!</definedName>
    <definedName name="_2NON_UTILITY" localSheetId="1">#REF!</definedName>
    <definedName name="_3NON_UTILITY" localSheetId="2">#REF!</definedName>
    <definedName name="_4NON_UTILITY" localSheetId="0">#REF!</definedName>
    <definedName name="_5NON_UTILITY">#REF!</definedName>
    <definedName name="_bdd4444" localSheetId="1">'[4]LGE Sales'!#REF!</definedName>
    <definedName name="_bdd4444" localSheetId="2">'[4]LGE Sales'!#REF!</definedName>
    <definedName name="_bdd4444">'[4]LGE Sales'!#REF!</definedName>
    <definedName name="_may1">#REF!</definedName>
    <definedName name="_mm66666" localSheetId="1">'[4]LGE Retail Margin'!#REF!</definedName>
    <definedName name="_mm66666" localSheetId="2">'[4]LGE Retail Margin'!#REF!</definedName>
    <definedName name="_mm66666">'[4]LGE Retail Margin'!#REF!</definedName>
    <definedName name="_nn00777" localSheetId="1">'[4]LGE Retail Margin'!#REF!</definedName>
    <definedName name="_nn00777" localSheetId="2">'[4]LGE Retail Margin'!#REF!</definedName>
    <definedName name="_nn00777">'[4]LGE Retail Margin'!#REF!</definedName>
    <definedName name="_nn6777" localSheetId="1">'[4]LGE Retail Margin'!#REF!</definedName>
    <definedName name="_nn6777" localSheetId="2">'[4]LGE Retail Margin'!#REF!</definedName>
    <definedName name="_nn6777">'[4]LGE Retail Margin'!#REF!</definedName>
    <definedName name="_nn77777" localSheetId="1">'[4]LGE Retail Margin'!#REF!</definedName>
    <definedName name="_nn77777" localSheetId="2">'[4]LGE Retail Margin'!#REF!</definedName>
    <definedName name="_nn77777">'[4]LGE Retail Margin'!#REF!</definedName>
    <definedName name="_nnn6777" localSheetId="1">#REF!</definedName>
    <definedName name="_nnn6777" localSheetId="2">#REF!</definedName>
    <definedName name="_nnn6777">#REF!</definedName>
    <definedName name="_nnn7777" localSheetId="1">#REF!</definedName>
    <definedName name="_nnn7777" localSheetId="2">#REF!</definedName>
    <definedName name="_nnn7777">#REF!</definedName>
    <definedName name="_nnn78777" localSheetId="1">#REF!</definedName>
    <definedName name="_nnn78777" localSheetId="2">#REF!</definedName>
    <definedName name="_nnn78777">#REF!</definedName>
    <definedName name="_Order1" hidden="1">0</definedName>
    <definedName name="_Order2" hidden="1">0</definedName>
    <definedName name="_P" localSheetId="1">#REF!</definedName>
    <definedName name="_P" localSheetId="2">#REF!</definedName>
    <definedName name="_P" localSheetId="0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1">#REF!</definedName>
    <definedName name="Adjust2" localSheetId="2">#REF!</definedName>
    <definedName name="Adjust2" localSheetId="0">#REF!</definedName>
    <definedName name="Adjust2">#REF!</definedName>
    <definedName name="ADJUSTA">#REF!</definedName>
    <definedName name="ADJUSTAA">#REF!</definedName>
    <definedName name="ADJUSTB" localSheetId="1">#REF!</definedName>
    <definedName name="ADJUSTB" localSheetId="2">#REF!</definedName>
    <definedName name="ADJUSTB" localSheetId="0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1">#REF!</definedName>
    <definedName name="ADJUSTS" localSheetId="2">#REF!</definedName>
    <definedName name="ADJUSTS" localSheetId="0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1">'[4]LGE Sales'!#REF!</definedName>
    <definedName name="Annual_Sales_KU" localSheetId="2">'[4]LGE Sales'!#REF!</definedName>
    <definedName name="Annual_Sales_KU" localSheetId="0">'[4]LGE Sales'!#REF!</definedName>
    <definedName name="Annual_Sales_KU">'[4]LGE Sales'!#REF!</definedName>
    <definedName name="asdasda" localSheetId="1">'[4]LGE Cost of Sales'!#REF!</definedName>
    <definedName name="asdasda" localSheetId="2">'[4]LGE Cost of Sales'!#REF!</definedName>
    <definedName name="asdasda">'[4]LGE Cost of Sales'!#REF!</definedName>
    <definedName name="assets">#REF!</definedName>
    <definedName name="azxxxx" localSheetId="1">'[4]LGE Base Fuel &amp; FAC'!#REF!</definedName>
    <definedName name="azxxxx" localSheetId="2">'[4]LGE Base Fuel &amp; FAC'!#REF!</definedName>
    <definedName name="azxxxx">'[4]LGE Base Fuel &amp; FAC'!#REF!</definedName>
    <definedName name="B">#REF!</definedName>
    <definedName name="bbbbbb" localSheetId="1">#REF!</definedName>
    <definedName name="bbbbbb" localSheetId="2">#REF!</definedName>
    <definedName name="bbbbbb">#REF!</definedName>
    <definedName name="bbbbbbb" localSheetId="1">#REF!</definedName>
    <definedName name="bbbbbbb" localSheetId="2">#REF!</definedName>
    <definedName name="bbbbbbb">#REF!</definedName>
    <definedName name="bbbbzzzz" localSheetId="1">'[4]LGE Cost of Sales'!#REF!</definedName>
    <definedName name="bbbbzzzz" localSheetId="2">'[4]LGE Cost of Sales'!#REF!</definedName>
    <definedName name="bbbbzzzz">'[4]LGE Cost of Sales'!#REF!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asffff" localSheetId="1">#REF!</definedName>
    <definedName name="casffff" localSheetId="2">#REF!</definedName>
    <definedName name="casffff">#REF!</definedName>
    <definedName name="Choices_Wrapper" localSheetId="1">'Primary Dist. Unit Costs'!Choices_Wrapper</definedName>
    <definedName name="Choices_Wrapper" localSheetId="2">'Secondary Dist. Unit Costs'!Choices_Wrapper</definedName>
    <definedName name="Choices_Wrapper">[0]!Choices_Wrapper</definedName>
    <definedName name="CM">#REF!</definedName>
    <definedName name="Coal_Annual_KU" localSheetId="1">'[4]LGE Coal'!#REF!</definedName>
    <definedName name="Coal_Annual_KU" localSheetId="2">'[4]LGE Coal'!#REF!</definedName>
    <definedName name="Coal_Annual_KU" localSheetId="0">'[4]LGE Coal'!#REF!</definedName>
    <definedName name="Coal_Annual_KU">'[4]LGE Coal'!#REF!</definedName>
    <definedName name="coal_hide_ku_01" localSheetId="1">'[4]LGE Coal'!#REF!</definedName>
    <definedName name="coal_hide_ku_01" localSheetId="2">'[4]LGE Coal'!#REF!</definedName>
    <definedName name="coal_hide_ku_01" localSheetId="0">'[4]LGE Coal'!#REF!</definedName>
    <definedName name="coal_hide_ku_01">'[4]LGE Coal'!#REF!</definedName>
    <definedName name="coal_hide_lge_01" localSheetId="1">'[4]LGE Coal'!#REF!</definedName>
    <definedName name="coal_hide_lge_01" localSheetId="2">'[4]LGE Coal'!#REF!</definedName>
    <definedName name="coal_hide_lge_01" localSheetId="0">'[4]LGE Coal'!#REF!</definedName>
    <definedName name="coal_hide_lge_01">'[4]LGE Coal'!#REF!</definedName>
    <definedName name="coal_ku_01" localSheetId="1">'[4]LGE Coal'!#REF!</definedName>
    <definedName name="coal_ku_01" localSheetId="2">'[4]LGE Coal'!#REF!</definedName>
    <definedName name="coal_ku_01" localSheetId="0">'[4]LGE Coal'!#REF!</definedName>
    <definedName name="coal_ku_01">'[4]LGE Coal'!#REF!</definedName>
    <definedName name="ColumnAttributes1">#REF!</definedName>
    <definedName name="ColumnHeadings1">#REF!</definedName>
    <definedName name="Comp" localSheetId="1">'Primary Dist. Unit Costs'!Comp</definedName>
    <definedName name="Comp" localSheetId="2">'Secondary Dist. Unit Costs'!Comp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 localSheetId="1">'[6]1'!#REF!</definedName>
    <definedName name="data1" localSheetId="2">'[6]1'!#REF!</definedName>
    <definedName name="data1" localSheetId="0">'[6]1'!#REF!</definedName>
    <definedName name="data1">'[6]1'!#REF!</definedName>
    <definedName name="DateTimeNow">[5]Input!$AE$12</definedName>
    <definedName name="DEBIT">#REF!</definedName>
    <definedName name="Detail">#REF!</definedName>
    <definedName name="dfbbb" localSheetId="1">'[7]Ex 2'!#REF!</definedName>
    <definedName name="dfbbb" localSheetId="2">'[7]Ex 2'!#REF!</definedName>
    <definedName name="dfbbb">'[7]Ex 2'!#REF!</definedName>
    <definedName name="dfjdghjrt" localSheetId="1">#REF!</definedName>
    <definedName name="dfjdghjrt" localSheetId="2">#REF!</definedName>
    <definedName name="dfjdghjrt">#REF!</definedName>
    <definedName name="djhdhjkdgh" localSheetId="1">'[8]#REF'!#REF!</definedName>
    <definedName name="djhdhjkdgh" localSheetId="2">'[8]#REF'!#REF!</definedName>
    <definedName name="djhdhjkdgh">'[8]#REF'!#REF!</definedName>
    <definedName name="eeeeeee" localSheetId="1">'[4]LGE Cost of Sales'!#REF!</definedName>
    <definedName name="eeeeeee" localSheetId="2">'[4]LGE Cost of Sales'!#REF!</definedName>
    <definedName name="eeeeeee">'[4]LGE Cost of Sales'!#REF!</definedName>
    <definedName name="ELEC_NET_OP_INC" localSheetId="1">#REF!</definedName>
    <definedName name="ELEC_NET_OP_INC" localSheetId="2">#REF!</definedName>
    <definedName name="ELEC_NET_OP_INC" localSheetId="0">#REF!</definedName>
    <definedName name="ELEC_NET_OP_INC">#REF!</definedName>
    <definedName name="ELIMS">#REF!</definedName>
    <definedName name="EXHIB1A" localSheetId="1">'[8]#REF'!#REF!</definedName>
    <definedName name="EXHIB1A" localSheetId="2">'[8]#REF'!#REF!</definedName>
    <definedName name="EXHIB1A" localSheetId="0">'[8]#REF'!#REF!</definedName>
    <definedName name="EXHIB1A">'[8]#REF'!#REF!</definedName>
    <definedName name="EXHIB1B">#REF!</definedName>
    <definedName name="EXHIB1C" localSheetId="1">#REF!</definedName>
    <definedName name="EXHIB1C" localSheetId="2">#REF!</definedName>
    <definedName name="EXHIB1C" localSheetId="0">#REF!</definedName>
    <definedName name="EXHIB1C">#REF!</definedName>
    <definedName name="EXHIB2B" localSheetId="1">'[7]Ex 2'!#REF!</definedName>
    <definedName name="EXHIB2B" localSheetId="2">'[7]Ex 2'!#REF!</definedName>
    <definedName name="EXHIB2B" localSheetId="0">'[7]Ex 2'!#REF!</definedName>
    <definedName name="EXHIB2B">'[7]Ex 2'!#REF!</definedName>
    <definedName name="EXHIB3">#REF!</definedName>
    <definedName name="EXHIB6" localSheetId="1">'[7]not used Ex 4'!#REF!</definedName>
    <definedName name="EXHIB6" localSheetId="2">'[7]not used Ex 4'!#REF!</definedName>
    <definedName name="EXHIB6" localSheetId="0">'[7]not used Ex 4'!#REF!</definedName>
    <definedName name="EXHIB6">'[7]not used Ex 4'!#REF!</definedName>
    <definedName name="F">#REF!</definedName>
    <definedName name="Fac_2000" localSheetId="1">'[4]LGE Base Fuel &amp; FAC'!#REF!</definedName>
    <definedName name="Fac_2000" localSheetId="2">'[4]LGE Base Fuel &amp; FAC'!#REF!</definedName>
    <definedName name="Fac_2000" localSheetId="0">'[4]LGE Base Fuel &amp; FAC'!#REF!</definedName>
    <definedName name="Fac_2000">'[4]LGE Base Fuel &amp; FAC'!#REF!</definedName>
    <definedName name="fac_annual_ku" localSheetId="1">'[4]LGE Base Fuel &amp; FAC'!#REF!</definedName>
    <definedName name="fac_annual_ku" localSheetId="2">'[4]LGE Base Fuel &amp; FAC'!#REF!</definedName>
    <definedName name="fac_annual_ku" localSheetId="0">'[4]LGE Base Fuel &amp; FAC'!#REF!</definedName>
    <definedName name="fac_annual_ku">'[4]LGE Base Fuel &amp; FAC'!#REF!</definedName>
    <definedName name="fac_hide_ku_01" localSheetId="1">'[4]LGE Base Fuel &amp; FAC'!#REF!</definedName>
    <definedName name="fac_hide_ku_01" localSheetId="2">'[4]LGE Base Fuel &amp; FAC'!#REF!</definedName>
    <definedName name="fac_hide_ku_01" localSheetId="0">'[4]LGE Base Fuel &amp; FAC'!#REF!</definedName>
    <definedName name="fac_hide_ku_01">'[4]LGE Base Fuel &amp; FAC'!#REF!</definedName>
    <definedName name="fac_hide_lge_01" localSheetId="1">'[4]LGE Base Fuel &amp; FAC'!#REF!</definedName>
    <definedName name="fac_hide_lge_01" localSheetId="2">'[4]LGE Base Fuel &amp; FAC'!#REF!</definedName>
    <definedName name="fac_hide_lge_01" localSheetId="0">'[4]LGE Base Fuel &amp; FAC'!#REF!</definedName>
    <definedName name="fac_hide_lge_01">'[4]LGE Base Fuel &amp; FAC'!#REF!</definedName>
    <definedName name="fac_ku_01" localSheetId="1">'[4]LGE Base Fuel &amp; FAC'!#REF!</definedName>
    <definedName name="fac_ku_01" localSheetId="2">'[4]LGE Base Fuel &amp; FAC'!#REF!</definedName>
    <definedName name="fac_ku_01" localSheetId="0">'[4]LGE Base Fuel &amp; FAC'!#REF!</definedName>
    <definedName name="fac_ku_01">'[4]LGE Base Fuel &amp; FAC'!#REF!</definedName>
    <definedName name="fbnrtyyy" localSheetId="1">'[4]LGE Base Fuel &amp; FAC'!#REF!</definedName>
    <definedName name="fbnrtyyy" localSheetId="2">'[4]LGE Base Fuel &amp; FAC'!#REF!</definedName>
    <definedName name="fbnrtyyy">'[4]LGE Base Fuel &amp; FAC'!#REF!</definedName>
    <definedName name="fghsfgh" localSheetId="1">#REF!</definedName>
    <definedName name="fghsfgh" localSheetId="2">#REF!</definedName>
    <definedName name="fghsfgh">#REF!</definedName>
    <definedName name="FOOTER" localSheetId="1">#REF!</definedName>
    <definedName name="FOOTER" localSheetId="2">#REF!</definedName>
    <definedName name="FOOTER" localSheetId="0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1">#REF!</definedName>
    <definedName name="gas_data" localSheetId="2">#REF!</definedName>
    <definedName name="gas_data" localSheetId="0">#REF!</definedName>
    <definedName name="gas_data">#REF!</definedName>
    <definedName name="Gas_Monthly_NetRevenue">#REF!</definedName>
    <definedName name="GAS_NET_OP_INC" localSheetId="1">#REF!</definedName>
    <definedName name="GAS_NET_OP_INC" localSheetId="2">#REF!</definedName>
    <definedName name="GAS_NET_OP_INC" localSheetId="0">#REF!</definedName>
    <definedName name="GAS_NET_OP_INC">#REF!</definedName>
    <definedName name="Gas_Sales_Revenues">#REF!</definedName>
    <definedName name="GenEx_Annual_KU" localSheetId="1">'[4]LGE Cost of Sales'!#REF!</definedName>
    <definedName name="GenEx_Annual_KU" localSheetId="2">'[4]LGE Cost of Sales'!#REF!</definedName>
    <definedName name="GenEx_Annual_KU" localSheetId="0">'[4]LGE Cost of Sales'!#REF!</definedName>
    <definedName name="GenEx_Annual_KU">'[4]LGE Cost of Sales'!#REF!</definedName>
    <definedName name="genex_hide_ku_01" localSheetId="1">'[4]LGE Cost of Sales'!#REF!</definedName>
    <definedName name="genex_hide_ku_01" localSheetId="2">'[4]LGE Cost of Sales'!#REF!</definedName>
    <definedName name="genex_hide_ku_01" localSheetId="0">'[4]LGE Cost of Sales'!#REF!</definedName>
    <definedName name="genex_hide_ku_01">'[4]LGE Cost of Sales'!#REF!</definedName>
    <definedName name="genex_hide_lge_01" localSheetId="1">'[4]LGE Cost of Sales'!#REF!</definedName>
    <definedName name="genex_hide_lge_01" localSheetId="2">'[4]LGE Cost of Sales'!#REF!</definedName>
    <definedName name="genex_hide_lge_01" localSheetId="0">'[4]LGE Cost of Sales'!#REF!</definedName>
    <definedName name="genex_hide_lge_01">'[4]LGE Cost of Sales'!#REF!</definedName>
    <definedName name="genex_ku_01" localSheetId="1">'[4]LGE Cost of Sales'!#REF!</definedName>
    <definedName name="genex_ku_01" localSheetId="2">'[4]LGE Cost of Sales'!#REF!</definedName>
    <definedName name="genex_ku_01" localSheetId="0">'[4]LGE Cost of Sales'!#REF!</definedName>
    <definedName name="genex_ku_01">'[4]LGE Cost of Sales'!#REF!</definedName>
    <definedName name="H">#REF!</definedName>
    <definedName name="h7g6gh" localSheetId="1">#REF!</definedName>
    <definedName name="h7g6gh" localSheetId="2">#REF!</definedName>
    <definedName name="h7g6gh">#REF!</definedName>
    <definedName name="hghghghghb" localSheetId="1">'[4]LGE Base Fuel &amp; FAC'!#REF!</definedName>
    <definedName name="hghghghghb" localSheetId="2">'[4]LGE Base Fuel &amp; FAC'!#REF!</definedName>
    <definedName name="hghghghghb">'[4]LGE Base Fuel &amp; FAC'!#REF!</definedName>
    <definedName name="hhhhhh" localSheetId="1">#REF!</definedName>
    <definedName name="hhhhhh" localSheetId="2">#REF!</definedName>
    <definedName name="hhhhh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kfgjkf" localSheetId="1">'[6]1'!#REF!</definedName>
    <definedName name="kkfgjkf" localSheetId="2">'[6]1'!#REF!</definedName>
    <definedName name="kkfgjkf">'[6]1'!#REF!</definedName>
    <definedName name="KUELIMBAL" localSheetId="1">#REF!</definedName>
    <definedName name="KUELIMBAL" localSheetId="2">#REF!</definedName>
    <definedName name="KUELIMBAL" localSheetId="0">#REF!</definedName>
    <definedName name="KUELIMBAL">#REF!</definedName>
    <definedName name="KUELIMCASH" localSheetId="1">#REF!</definedName>
    <definedName name="KUELIMCASH" localSheetId="2">#REF!</definedName>
    <definedName name="KUELIMCASH" localSheetId="0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llhv123" localSheetId="1">#REF!</definedName>
    <definedName name="lllhv123" localSheetId="2">#REF!</definedName>
    <definedName name="lllhv123">#REF!</definedName>
    <definedName name="lllllll" localSheetId="1">#REF!</definedName>
    <definedName name="lllllll" localSheetId="2">#REF!</definedName>
    <definedName name="lllllll">#REF!</definedName>
    <definedName name="LNGCL" localSheetId="1">#REF!</definedName>
    <definedName name="LNGCL" localSheetId="2">#REF!</definedName>
    <definedName name="LNGCL" localSheetId="0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m55ggg" localSheetId="1">'[4]KU Other Electric Revenues'!#REF!</definedName>
    <definedName name="mm55ggg" localSheetId="2">'[4]KU Other Electric Revenues'!#REF!</definedName>
    <definedName name="mm55ggg">'[4]KU Other Electric Revenues'!#REF!</definedName>
    <definedName name="MONTH_NAME">#REF!</definedName>
    <definedName name="MONTHCOUNT">#REF!</definedName>
    <definedName name="NATURAL">#REF!</definedName>
    <definedName name="NET_OP_INC" localSheetId="1">#REF!</definedName>
    <definedName name="NET_OP_INC" localSheetId="2">#REF!</definedName>
    <definedName name="NET_OP_INC" localSheetId="0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1">'[4]LGE Gross Margin-Inc.Stmt'!#REF!</definedName>
    <definedName name="netrev_hide_ku_01" localSheetId="2">'[4]LGE Gross Margin-Inc.Stmt'!#REF!</definedName>
    <definedName name="netrev_hide_ku_01" localSheetId="0">'[4]LGE Gross Margin-Inc.Stmt'!#REF!</definedName>
    <definedName name="netrev_hide_ku_01">'[4]LGE Gross Margin-Inc.Stmt'!#REF!</definedName>
    <definedName name="netrev_hide_lge_01" localSheetId="1">'[4]LGE Gross Margin-Inc.Stmt'!#REF!</definedName>
    <definedName name="netrev_hide_lge_01" localSheetId="2">'[4]LGE Gross Margin-Inc.Stmt'!#REF!</definedName>
    <definedName name="netrev_hide_lge_01" localSheetId="0">'[4]LGE Gross Margin-Inc.Stmt'!#REF!</definedName>
    <definedName name="netrev_hide_lge_01">'[4]LGE Gross Margin-Inc.Stmt'!#REF!</definedName>
    <definedName name="netrev_ku_01" localSheetId="1">'[4]LGE Gross Margin-Inc.Stmt'!#REF!</definedName>
    <definedName name="netrev_ku_01" localSheetId="2">'[4]LGE Gross Margin-Inc.Stmt'!#REF!</definedName>
    <definedName name="netrev_ku_01" localSheetId="0">'[4]LGE Gross Margin-Inc.Stmt'!#REF!</definedName>
    <definedName name="netrev_ku_01">'[4]LGE Gross Margin-Inc.Stmt'!#REF!</definedName>
    <definedName name="NetRevenue_Annual_KU" localSheetId="1">'[4]LGE Gross Margin-Inc.Stmt'!#REF!</definedName>
    <definedName name="NetRevenue_Annual_KU" localSheetId="2">'[4]LGE Gross Margin-Inc.Stmt'!#REF!</definedName>
    <definedName name="NetRevenue_Annual_KU" localSheetId="0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nnhh8888" localSheetId="1">'[4]LGE Sales'!#REF!</definedName>
    <definedName name="nnhh8888" localSheetId="2">'[4]LGE Sales'!#REF!</definedName>
    <definedName name="nnhh8888">'[4]LGE Sales'!#REF!</definedName>
    <definedName name="nnnn77777" localSheetId="1">'[4]LGE Sales'!#REF!</definedName>
    <definedName name="nnnn77777" localSheetId="2">'[4]LGE Sales'!#REF!</definedName>
    <definedName name="nnnn77777">'[4]LGE Sales'!#REF!</definedName>
    <definedName name="Operating_Revenue_Dollars">#REF!</definedName>
    <definedName name="Operating_Sales__KWh">#REF!</definedName>
    <definedName name="P" localSheetId="1">[2]dbase!#REF!</definedName>
    <definedName name="P" localSheetId="2">[2]dbase!#REF!</definedName>
    <definedName name="P">[2]dbase!#REF!</definedName>
    <definedName name="PAGE">#REF!</definedName>
    <definedName name="PAGE10">#REF!</definedName>
    <definedName name="PAGE1B" localSheetId="1">[3]d20!#REF!</definedName>
    <definedName name="PAGE1B" localSheetId="2">[3]d20!#REF!</definedName>
    <definedName name="PAGE1B" localSheetId="0">[3]d20!#REF!</definedName>
    <definedName name="PAGE1B">[3]d20!#REF!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3">'Demand Calc'!$A$1:$G$22</definedName>
    <definedName name="_xlnm.Print_Area" localSheetId="1">'Primary Dist. Unit Costs'!$A$1:$H$51</definedName>
    <definedName name="_xlnm.Print_Area" localSheetId="2">'Secondary Dist. Unit Costs'!$A$1:$H$51</definedName>
    <definedName name="_xlnm.Print_Area" localSheetId="0">'Total System - Unit Demand Cost'!$A$1:$I$51</definedName>
    <definedName name="PRINT1">#REF!</definedName>
    <definedName name="PWRGENBAL">#REF!</definedName>
    <definedName name="PWRGENCASH">#REF!</definedName>
    <definedName name="QtrbyMonth">#REF!</definedName>
    <definedName name="RangeRptgMo">[9]Main!$K$11</definedName>
    <definedName name="RangeRptgYr">[10]Main!$G$5</definedName>
    <definedName name="REPORT">#REF!</definedName>
    <definedName name="ReportTitle1">#REF!</definedName>
    <definedName name="require_hide_ku_01" localSheetId="1">'[4]LGE Require &amp; Source'!#REF!</definedName>
    <definedName name="require_hide_ku_01" localSheetId="2">'[4]LGE Require &amp; Source'!#REF!</definedName>
    <definedName name="require_hide_ku_01" localSheetId="0">'[4]LGE Require &amp; Source'!#REF!</definedName>
    <definedName name="require_hide_ku_01">'[4]LGE Require &amp; Source'!#REF!</definedName>
    <definedName name="require_hide_lge_01" localSheetId="1">'[4]LGE Require &amp; Source'!#REF!</definedName>
    <definedName name="require_hide_lge_01" localSheetId="2">'[4]LGE Require &amp; Source'!#REF!</definedName>
    <definedName name="require_hide_lge_01" localSheetId="0">'[4]LGE Require &amp; Source'!#REF!</definedName>
    <definedName name="require_hide_lge_01">'[4]LGE Require &amp; Source'!#REF!</definedName>
    <definedName name="require_ku_01" localSheetId="1">'[4]LGE Require &amp; Source'!#REF!</definedName>
    <definedName name="require_ku_01" localSheetId="2">'[4]LGE Require &amp; Source'!#REF!</definedName>
    <definedName name="require_ku_01" localSheetId="0">'[4]LGE Require &amp; Source'!#REF!</definedName>
    <definedName name="require_ku_01">'[4]LGE Require &amp; Source'!#REF!</definedName>
    <definedName name="Requirements_Annual_KU" localSheetId="1">'[4]LGE Require &amp; Source'!#REF!</definedName>
    <definedName name="Requirements_Annual_KU" localSheetId="2">'[4]LGE Require &amp; Source'!#REF!</definedName>
    <definedName name="Requirements_Annual_KU" localSheetId="0">'[4]LGE Require &amp; Source'!#REF!</definedName>
    <definedName name="Requirements_Annual_KU">'[4]LGE Require &amp; Source'!#REF!</definedName>
    <definedName name="Requirements_Data" localSheetId="1">'[4]LGE Require &amp; Source'!#REF!</definedName>
    <definedName name="Requirements_Data" localSheetId="2">'[4]LGE Require &amp; Source'!#REF!</definedName>
    <definedName name="Requirements_Data" localSheetId="0">'[4]LGE Require &amp; Source'!#REF!</definedName>
    <definedName name="Requirements_Data">'[4]LGE Require &amp; Source'!#REF!</definedName>
    <definedName name="Requirements_KU" localSheetId="1">'[4]LGE Require &amp; Source'!#REF!</definedName>
    <definedName name="Requirements_KU" localSheetId="2">'[4]LGE Require &amp; Source'!#REF!</definedName>
    <definedName name="Requirements_KU" localSheetId="0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 localSheetId="1">#REF!</definedName>
    <definedName name="RevCol01B" localSheetId="2">#REF!</definedName>
    <definedName name="RevCol01B" localSheetId="0">#REF!</definedName>
    <definedName name="RevCol01B">#REF!</definedName>
    <definedName name="RevCol02">#REF!</definedName>
    <definedName name="RevCol02A">#REF!</definedName>
    <definedName name="RevCol02B" localSheetId="1">#REF!</definedName>
    <definedName name="RevCol02B" localSheetId="2">#REF!</definedName>
    <definedName name="RevCol02B" localSheetId="0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1">#REF!</definedName>
    <definedName name="RevColTmp" localSheetId="2">#REF!</definedName>
    <definedName name="RevColTmp" localSheetId="0">#REF!</definedName>
    <definedName name="RevColTmp">#REF!</definedName>
    <definedName name="RevColTmpA" localSheetId="1">#REF!</definedName>
    <definedName name="RevColTmpA" localSheetId="2">#REF!</definedName>
    <definedName name="RevColTmpA" localSheetId="0">#REF!</definedName>
    <definedName name="RevColTmpA">#REF!</definedName>
    <definedName name="RevColTmpB" localSheetId="1">#REF!</definedName>
    <definedName name="RevColTmpB" localSheetId="2">#REF!</definedName>
    <definedName name="RevColTmpB" localSheetId="0">#REF!</definedName>
    <definedName name="RevColTmpB">#REF!</definedName>
    <definedName name="revenues_hide_ku_01" localSheetId="1">'[4]KU Other Electric Revenues'!#REF!</definedName>
    <definedName name="revenues_hide_ku_01" localSheetId="2">'[4]KU Other Electric Revenues'!#REF!</definedName>
    <definedName name="revenues_hide_ku_01" localSheetId="0">'[4]KU Other Electric Revenues'!#REF!</definedName>
    <definedName name="revenues_hide_ku_01">'[4]KU Other Electric Revenues'!#REF!</definedName>
    <definedName name="revenues_ku_01" localSheetId="1">'[4]KU Other Electric Revenues'!#REF!</definedName>
    <definedName name="revenues_ku_01" localSheetId="2">'[4]KU Other Electric Revenues'!#REF!</definedName>
    <definedName name="revenues_ku_01" localSheetId="0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 localSheetId="1">'[4]LGE Sales'!#REF!</definedName>
    <definedName name="Sales" localSheetId="2">'[4]LGE Sales'!#REF!</definedName>
    <definedName name="Sales" localSheetId="0">'[4]LGE Sales'!#REF!</definedName>
    <definedName name="Sales">'[4]LGE Sales'!#REF!</definedName>
    <definedName name="sales_hide_ku_01" localSheetId="1">'[4]LGE Sales'!#REF!</definedName>
    <definedName name="sales_hide_ku_01" localSheetId="2">'[4]LGE Sales'!#REF!</definedName>
    <definedName name="sales_hide_ku_01" localSheetId="0">'[4]LGE Sales'!#REF!</definedName>
    <definedName name="sales_hide_ku_01">'[4]LGE Sales'!#REF!</definedName>
    <definedName name="sales_ku_01" localSheetId="1">'[4]LGE Sales'!#REF!</definedName>
    <definedName name="sales_ku_01" localSheetId="2">'[4]LGE Sales'!#REF!</definedName>
    <definedName name="sales_ku_01" localSheetId="0">'[4]LGE Sales'!#REF!</definedName>
    <definedName name="sales_ku_01">'[4]LGE Sales'!#REF!</definedName>
    <definedName name="sales_title_ku" localSheetId="1">'[4]LGE Sales'!#REF!</definedName>
    <definedName name="sales_title_ku" localSheetId="2">'[4]LGE Sales'!#REF!</definedName>
    <definedName name="sales_title_ku" localSheetId="0">'[4]LGE Sales'!#REF!</definedName>
    <definedName name="sales_title_ku">'[4]LGE Sales'!#REF!</definedName>
    <definedName name="SCHEDZ">#REF!</definedName>
    <definedName name="sdfghstfgs" localSheetId="1">'[4]LGE Coal'!#REF!</definedName>
    <definedName name="sdfghstfgs" localSheetId="2">'[4]LGE Coal'!#REF!</definedName>
    <definedName name="sdfghstfgs">'[4]LGE Coal'!#REF!</definedName>
    <definedName name="sdfgsdfg" localSheetId="1">'[4]LGE Coal'!#REF!</definedName>
    <definedName name="sdfgsdfg" localSheetId="2">'[4]LGE Coal'!#REF!</definedName>
    <definedName name="sdfgsdfg">'[4]LGE Coal'!#REF!</definedName>
    <definedName name="sdfhasdfhsdfh" localSheetId="1">#REF!</definedName>
    <definedName name="sdfhasdfhsdfh" localSheetId="2">#REF!</definedName>
    <definedName name="sdfhasdfhsdfh">#REF!</definedName>
    <definedName name="sfgjh12334" localSheetId="1">'[4]LGE Base Fuel &amp; FAC'!#REF!</definedName>
    <definedName name="sfgjh12334" localSheetId="2">'[4]LGE Base Fuel &amp; FAC'!#REF!</definedName>
    <definedName name="sfgjh12334">'[4]LGE Base Fuel &amp; FAC'!#REF!</definedName>
    <definedName name="sghsfjhxcvbfgb" localSheetId="1">'[4]LGE Gross Margin-Inc.Stmt'!#REF!</definedName>
    <definedName name="sghsfjhxcvbfgb" localSheetId="2">'[4]LGE Gross Margin-Inc.Stmt'!#REF!</definedName>
    <definedName name="sghsfjhxcvbfgb">'[4]LGE Gross Margin-Inc.Stmt'!#REF!</definedName>
    <definedName name="shoot" localSheetId="1">#REF!</definedName>
    <definedName name="shoot" localSheetId="2">#REF!</definedName>
    <definedName name="shoot" localSheetId="0">#REF!</definedName>
    <definedName name="shoot">#REF!</definedName>
    <definedName name="ssfghsdfghbxxx" localSheetId="1">#REF!</definedName>
    <definedName name="ssfghsdfghbxxx" localSheetId="2">#REF!</definedName>
    <definedName name="ssfghsdfghbxxx">#REF!</definedName>
    <definedName name="START">#REF!</definedName>
    <definedName name="START2">#REF!</definedName>
    <definedName name="START3">#REF!</definedName>
    <definedName name="sthnn" localSheetId="1">'[7]not used Ex 4'!#REF!</definedName>
    <definedName name="sthnn" localSheetId="2">'[7]not used Ex 4'!#REF!</definedName>
    <definedName name="sthnn">'[7]not used Ex 4'!#REF!</definedName>
    <definedName name="Support">#REF!</definedName>
    <definedName name="SUPPORT5">#REF!</definedName>
    <definedName name="SUPPORT6" localSheetId="1">#REF!</definedName>
    <definedName name="SUPPORT6" localSheetId="2">#REF!</definedName>
    <definedName name="SUPPORT6" localSheetId="0">#REF!</definedName>
    <definedName name="SUPPORT6">#REF!</definedName>
    <definedName name="TAX_RATE" localSheetId="1">'[8]#REF'!#REF!</definedName>
    <definedName name="TAX_RATE" localSheetId="2">'[8]#REF'!#REF!</definedName>
    <definedName name="TAX_RATE" localSheetId="0">'[8]#REF'!#REF!</definedName>
    <definedName name="TAX_RATE">'[8]#REF'!#REF!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off" localSheetId="1">#REF!</definedName>
    <definedName name="teoff" localSheetId="2">#REF!</definedName>
    <definedName name="teoff">#REF!</definedName>
    <definedName name="test" localSheetId="1">'Primary Dist. Unit Costs'!test</definedName>
    <definedName name="test" localSheetId="2">'Secondary Dist. Unit Costs'!test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1">#REF!</definedName>
    <definedName name="ttt" localSheetId="2">#REF!</definedName>
    <definedName name="ttt" localSheetId="0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 localSheetId="1">'[4]LGE Retail Margin'!#REF!</definedName>
    <definedName name="vol_rev_annual_ku" localSheetId="2">'[4]LGE Retail Margin'!#REF!</definedName>
    <definedName name="vol_rev_annual_ku" localSheetId="0">'[4]LGE Retail Margin'!#REF!</definedName>
    <definedName name="vol_rev_annual_ku">'[4]LGE Retail Margin'!#REF!</definedName>
    <definedName name="vol_rev_hide_ku_monthly" localSheetId="1">'[4]LGE Retail Margin'!#REF!</definedName>
    <definedName name="vol_rev_hide_ku_monthly" localSheetId="2">'[4]LGE Retail Margin'!#REF!</definedName>
    <definedName name="vol_rev_hide_ku_monthly" localSheetId="0">'[4]LGE Retail Margin'!#REF!</definedName>
    <definedName name="vol_rev_hide_ku_monthly">'[4]LGE Retail Margin'!#REF!</definedName>
    <definedName name="vol_rev_hide_lge_01" localSheetId="1">'[4]LGE Retail Margin'!#REF!</definedName>
    <definedName name="vol_rev_hide_lge_01" localSheetId="2">'[4]LGE Retail Margin'!#REF!</definedName>
    <definedName name="vol_rev_hide_lge_01" localSheetId="0">'[4]LGE Retail Margin'!#REF!</definedName>
    <definedName name="vol_rev_hide_lge_01">'[4]LGE Retail Margin'!#REF!</definedName>
    <definedName name="vol_rev_ku_monthly" localSheetId="1">'[4]LGE Retail Margin'!#REF!</definedName>
    <definedName name="vol_rev_ku_monthly" localSheetId="2">'[4]LGE Retail Margin'!#REF!</definedName>
    <definedName name="vol_rev_ku_monthly" localSheetId="0">'[4]LGE Retail Margin'!#REF!</definedName>
    <definedName name="vol_rev_ku_monthly">'[4]LGE Retail Margin'!#REF!</definedName>
    <definedName name="volrev_data" localSheetId="1">'[4]LGE Retail Margin'!#REF!</definedName>
    <definedName name="volrev_data" localSheetId="2">'[4]LGE Retail Margin'!#REF!</definedName>
    <definedName name="volrev_data" localSheetId="0">'[4]LGE Retail Margin'!#REF!</definedName>
    <definedName name="volrev_data">'[4]LGE Retail Margin'!#REF!</definedName>
    <definedName name="XXXXXX" localSheetId="1" hidden="1">#REF!</definedName>
    <definedName name="XXXXXX" localSheetId="2" hidden="1">#REF!</definedName>
    <definedName name="XXXXXX" hidden="1">#REF!</definedName>
    <definedName name="YTD">#REF!</definedName>
    <definedName name="yuu999" localSheetId="1">'[8]#REF'!#REF!</definedName>
    <definedName name="yuu999" localSheetId="2">'[8]#REF'!#REF!</definedName>
    <definedName name="yuu999">'[8]#REF'!#REF!</definedName>
    <definedName name="zxcvbxcvb" localSheetId="1">'[4]LGE Require &amp; Source'!#REF!</definedName>
    <definedName name="zxcvbxcvb" localSheetId="2">'[4]LGE Require &amp; Source'!#REF!</definedName>
    <definedName name="zxcvbxcvb">'[4]LGE Require &amp; Source'!#REF!</definedName>
    <definedName name="zxxcvbbbbb" localSheetId="1">'[4]LGE Require &amp; Source'!#REF!</definedName>
    <definedName name="zxxcvbbbbb" localSheetId="2">'[4]LGE Require &amp; Source'!#REF!</definedName>
    <definedName name="zxxcvbbbbb">'[4]LGE Require &amp; Source'!#REF!</definedName>
  </definedNames>
  <calcPr calcId="125725"/>
</workbook>
</file>

<file path=xl/calcChain.xml><?xml version="1.0" encoding="utf-8"?>
<calcChain xmlns="http://schemas.openxmlformats.org/spreadsheetml/2006/main">
  <c r="E8" i="4"/>
  <c r="E14" s="1"/>
  <c r="C20" s="1"/>
  <c r="D30" i="3" l="1"/>
  <c r="E22"/>
  <c r="F22"/>
  <c r="D22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E10"/>
  <c r="F10"/>
  <c r="D10"/>
  <c r="Q16"/>
  <c r="R16"/>
  <c r="P16"/>
  <c r="S16" s="1"/>
  <c r="K18"/>
  <c r="L16"/>
  <c r="M16"/>
  <c r="K16"/>
  <c r="L18"/>
  <c r="M18"/>
  <c r="S17"/>
  <c r="R22"/>
  <c r="Q22"/>
  <c r="P22"/>
  <c r="M24"/>
  <c r="L24"/>
  <c r="K24"/>
  <c r="K30"/>
  <c r="N30" s="1"/>
  <c r="M22"/>
  <c r="M26" s="1"/>
  <c r="L22"/>
  <c r="L26" s="1"/>
  <c r="K22"/>
  <c r="N22" s="1"/>
  <c r="N17"/>
  <c r="L20"/>
  <c r="N15"/>
  <c r="N14"/>
  <c r="N13"/>
  <c r="N12"/>
  <c r="N11"/>
  <c r="N10"/>
  <c r="M20" l="1"/>
  <c r="M28" s="1"/>
  <c r="M32" s="1"/>
  <c r="L28"/>
  <c r="K26"/>
  <c r="N26" s="1"/>
  <c r="L30"/>
  <c r="N18"/>
  <c r="M30"/>
  <c r="F22" i="2"/>
  <c r="D11"/>
  <c r="E11"/>
  <c r="F11"/>
  <c r="D12"/>
  <c r="E12"/>
  <c r="F12"/>
  <c r="D13"/>
  <c r="E13"/>
  <c r="F13"/>
  <c r="F14"/>
  <c r="F15"/>
  <c r="E17"/>
  <c r="F17"/>
  <c r="E10"/>
  <c r="F10"/>
  <c r="D10"/>
  <c r="J30"/>
  <c r="N16" i="3" l="1"/>
  <c r="K20"/>
  <c r="L32"/>
  <c r="N24"/>
  <c r="N20" l="1"/>
  <c r="K28"/>
  <c r="N28" l="1"/>
  <c r="N32" s="1"/>
  <c r="K32"/>
  <c r="P14" i="2" l="1"/>
  <c r="E14" s="1"/>
  <c r="R17"/>
  <c r="P22"/>
  <c r="O22"/>
  <c r="M30"/>
  <c r="K22"/>
  <c r="J22"/>
  <c r="M17"/>
  <c r="M15"/>
  <c r="M14"/>
  <c r="M13"/>
  <c r="M12"/>
  <c r="M11"/>
  <c r="M10"/>
  <c r="G17"/>
  <c r="O17"/>
  <c r="D17" s="1"/>
  <c r="G16" i="1"/>
  <c r="G18"/>
  <c r="D22" i="2" l="1"/>
  <c r="L18"/>
  <c r="J18"/>
  <c r="K18"/>
  <c r="E22"/>
  <c r="M22"/>
  <c r="L16" s="1"/>
  <c r="K30"/>
  <c r="L30"/>
  <c r="J16" l="1"/>
  <c r="K16"/>
  <c r="F8" i="4"/>
  <c r="R14" i="3" l="1"/>
  <c r="P14"/>
  <c r="R17"/>
  <c r="P17"/>
  <c r="R15"/>
  <c r="P15"/>
  <c r="P30"/>
  <c r="S14"/>
  <c r="G14"/>
  <c r="O14" i="2"/>
  <c r="D14" s="1"/>
  <c r="P15"/>
  <c r="E15" s="1"/>
  <c r="O15"/>
  <c r="O30"/>
  <c r="D30" s="1"/>
  <c r="D15" l="1"/>
  <c r="G15" s="1"/>
  <c r="R15"/>
  <c r="G15" i="1"/>
  <c r="S30" i="3" l="1"/>
  <c r="R30"/>
  <c r="Q30"/>
  <c r="S22"/>
  <c r="S15"/>
  <c r="S13"/>
  <c r="S12"/>
  <c r="S11"/>
  <c r="S10"/>
  <c r="Q30" i="2"/>
  <c r="R22"/>
  <c r="R14"/>
  <c r="R13"/>
  <c r="R12"/>
  <c r="R11"/>
  <c r="R10"/>
  <c r="Q16" l="1"/>
  <c r="P16"/>
  <c r="E16" s="1"/>
  <c r="O16"/>
  <c r="Q18" i="3"/>
  <c r="R18"/>
  <c r="P18"/>
  <c r="O18" i="2"/>
  <c r="P18"/>
  <c r="P20" s="1"/>
  <c r="R30"/>
  <c r="P30"/>
  <c r="R16" l="1"/>
  <c r="D16"/>
  <c r="F16"/>
  <c r="Q20"/>
  <c r="Q28" s="1"/>
  <c r="Q32" s="1"/>
  <c r="D18" i="3"/>
  <c r="S18"/>
  <c r="P20"/>
  <c r="F18"/>
  <c r="R20"/>
  <c r="E18"/>
  <c r="Q20"/>
  <c r="R18" i="2"/>
  <c r="O20"/>
  <c r="F42"/>
  <c r="H42" s="1"/>
  <c r="F44"/>
  <c r="H44" s="1"/>
  <c r="F46"/>
  <c r="H46" s="1"/>
  <c r="G46" s="1"/>
  <c r="K26" s="1"/>
  <c r="D48"/>
  <c r="R20" l="1"/>
  <c r="S20" i="3"/>
  <c r="J26" i="2"/>
  <c r="M26" s="1"/>
  <c r="P26"/>
  <c r="O26"/>
  <c r="H48"/>
  <c r="F48"/>
  <c r="O24" l="1"/>
  <c r="J24"/>
  <c r="K24"/>
  <c r="R26"/>
  <c r="P24"/>
  <c r="P28" s="1"/>
  <c r="P32" s="1"/>
  <c r="D48" i="3"/>
  <c r="F46"/>
  <c r="H46" s="1"/>
  <c r="G46" s="1"/>
  <c r="F44"/>
  <c r="H44" s="1"/>
  <c r="F42"/>
  <c r="G30"/>
  <c r="F30"/>
  <c r="E30"/>
  <c r="G22"/>
  <c r="G17"/>
  <c r="G15"/>
  <c r="G13"/>
  <c r="G12"/>
  <c r="G11"/>
  <c r="G10"/>
  <c r="E26" i="2"/>
  <c r="G30"/>
  <c r="F30"/>
  <c r="E30"/>
  <c r="G22"/>
  <c r="G14"/>
  <c r="G13"/>
  <c r="G12"/>
  <c r="G11"/>
  <c r="G10"/>
  <c r="D48" i="1"/>
  <c r="G46"/>
  <c r="I46" s="1"/>
  <c r="H46" s="1"/>
  <c r="D26" s="1"/>
  <c r="G44"/>
  <c r="I44" s="1"/>
  <c r="G42"/>
  <c r="G22"/>
  <c r="E20"/>
  <c r="D20"/>
  <c r="G17"/>
  <c r="G14"/>
  <c r="G13"/>
  <c r="G12"/>
  <c r="G11"/>
  <c r="G10"/>
  <c r="M24" i="2" l="1"/>
  <c r="F18"/>
  <c r="L20"/>
  <c r="L28" s="1"/>
  <c r="L32" s="1"/>
  <c r="E18"/>
  <c r="G16" i="3"/>
  <c r="F20"/>
  <c r="E20"/>
  <c r="E20" i="2"/>
  <c r="E26" i="3"/>
  <c r="Q26"/>
  <c r="R26"/>
  <c r="P26"/>
  <c r="O28" i="2"/>
  <c r="R24"/>
  <c r="G48" i="1"/>
  <c r="E24" s="1"/>
  <c r="F48" i="3"/>
  <c r="H42"/>
  <c r="H48" s="1"/>
  <c r="F26"/>
  <c r="D26" i="2"/>
  <c r="G26" s="1"/>
  <c r="D26" i="3"/>
  <c r="E26" i="1"/>
  <c r="I42"/>
  <c r="I48" s="1"/>
  <c r="G20"/>
  <c r="K20" i="2" l="1"/>
  <c r="K28" s="1"/>
  <c r="K32" s="1"/>
  <c r="M18"/>
  <c r="D18"/>
  <c r="G16"/>
  <c r="F20"/>
  <c r="F28" s="1"/>
  <c r="F32" s="1"/>
  <c r="J20"/>
  <c r="M16"/>
  <c r="G18" i="3"/>
  <c r="D20"/>
  <c r="G20" s="1"/>
  <c r="G26"/>
  <c r="D20" i="2"/>
  <c r="G20" s="1"/>
  <c r="G18"/>
  <c r="S26" i="3"/>
  <c r="R24"/>
  <c r="R28" s="1"/>
  <c r="R32" s="1"/>
  <c r="P24"/>
  <c r="Q24"/>
  <c r="Q28" s="1"/>
  <c r="Q32" s="1"/>
  <c r="O32" i="2"/>
  <c r="R28"/>
  <c r="R32" s="1"/>
  <c r="D30" i="1"/>
  <c r="E28"/>
  <c r="D24"/>
  <c r="E24" i="3"/>
  <c r="E28" s="1"/>
  <c r="E32" s="1"/>
  <c r="F24"/>
  <c r="F28" s="1"/>
  <c r="F32" s="1"/>
  <c r="D24"/>
  <c r="E24" i="2"/>
  <c r="E28" s="1"/>
  <c r="E32" s="1"/>
  <c r="D24"/>
  <c r="G26" i="1"/>
  <c r="M20" i="2" l="1"/>
  <c r="J28"/>
  <c r="S24" i="3"/>
  <c r="P28"/>
  <c r="G24" i="1"/>
  <c r="D28"/>
  <c r="G28" s="1"/>
  <c r="E30"/>
  <c r="E32" s="1"/>
  <c r="G30"/>
  <c r="G24" i="2"/>
  <c r="D28"/>
  <c r="D32" s="1"/>
  <c r="G24" i="3"/>
  <c r="D28"/>
  <c r="G28" s="1"/>
  <c r="M28" i="2" l="1"/>
  <c r="M32" s="1"/>
  <c r="J32"/>
  <c r="S28" i="3"/>
  <c r="S32" s="1"/>
  <c r="P32"/>
  <c r="G32" i="1"/>
  <c r="D32"/>
  <c r="G28" i="2"/>
  <c r="G32" s="1"/>
  <c r="D32" i="3"/>
  <c r="G32"/>
</calcChain>
</file>

<file path=xl/sharedStrings.xml><?xml version="1.0" encoding="utf-8"?>
<sst xmlns="http://schemas.openxmlformats.org/spreadsheetml/2006/main" count="250" uniqueCount="72">
  <si>
    <t>Production and Transmission Unit Demand Costs</t>
  </si>
  <si>
    <t>Total System</t>
  </si>
  <si>
    <t>Total</t>
  </si>
  <si>
    <t>Production</t>
  </si>
  <si>
    <t>Transmission</t>
  </si>
  <si>
    <t>Reference</t>
  </si>
  <si>
    <t>Cost</t>
  </si>
  <si>
    <t>Operation and Maintenance Expenses</t>
  </si>
  <si>
    <t>Depreciation Expenses</t>
  </si>
  <si>
    <t>Accretion Expenses</t>
  </si>
  <si>
    <t>Property Taxes</t>
  </si>
  <si>
    <t>Sub-Total Expenses</t>
  </si>
  <si>
    <t>Return</t>
  </si>
  <si>
    <t>Rate Base x Weighted Cost of Capital %</t>
  </si>
  <si>
    <t>Income Taxes</t>
  </si>
  <si>
    <t>Rate Base x Income Tax %</t>
  </si>
  <si>
    <t>Total Revenue Requirement</t>
  </si>
  <si>
    <t>Expenses + Return + Income Taxes</t>
  </si>
  <si>
    <t>100% Load Factor Demand</t>
  </si>
  <si>
    <t>Total Revenue Requirement / Demand</t>
  </si>
  <si>
    <t>Weighted</t>
  </si>
  <si>
    <t xml:space="preserve">Cost of </t>
  </si>
  <si>
    <t>Capital</t>
  </si>
  <si>
    <t>Income</t>
  </si>
  <si>
    <t>Grossed Up</t>
  </si>
  <si>
    <t>Taxes</t>
  </si>
  <si>
    <t>For Inc Taxes</t>
  </si>
  <si>
    <t>Short Term Debt</t>
  </si>
  <si>
    <t>Long Term Debt</t>
  </si>
  <si>
    <t>Common Equity</t>
  </si>
  <si>
    <t>Total Capitalization</t>
  </si>
  <si>
    <t>Composite State and Fed Inc Tax Rate</t>
  </si>
  <si>
    <t>Distribution</t>
  </si>
  <si>
    <t xml:space="preserve">Distribution </t>
  </si>
  <si>
    <t xml:space="preserve">Primary </t>
  </si>
  <si>
    <t>Primary</t>
  </si>
  <si>
    <t xml:space="preserve">Substation </t>
  </si>
  <si>
    <t>Lines</t>
  </si>
  <si>
    <t>Transformer</t>
  </si>
  <si>
    <t xml:space="preserve">Cost </t>
  </si>
  <si>
    <t>Billing Demand</t>
  </si>
  <si>
    <t>Secondary</t>
  </si>
  <si>
    <t>(3)</t>
  </si>
  <si>
    <t>(5)</t>
  </si>
  <si>
    <t>90% Power Factor Adjustment</t>
  </si>
  <si>
    <t>(6) / (7)</t>
  </si>
  <si>
    <t>(7)</t>
  </si>
  <si>
    <t>(8)</t>
  </si>
  <si>
    <t>System CP x 12 months @ 90% PF</t>
  </si>
  <si>
    <t>Base Demand</t>
  </si>
  <si>
    <t>(1)</t>
  </si>
  <si>
    <t>(2)</t>
  </si>
  <si>
    <t>Billing Demand @ 90% PF</t>
  </si>
  <si>
    <t>TODP Lines</t>
  </si>
  <si>
    <t>TODS</t>
  </si>
  <si>
    <t>Other Expenses</t>
  </si>
  <si>
    <t>Amortization of ITC</t>
  </si>
  <si>
    <t>Regulatory Credits</t>
  </si>
  <si>
    <t>LG&amp;E System Peak</t>
  </si>
  <si>
    <t>(1) * 12</t>
  </si>
  <si>
    <t>Expense Adjustments</t>
  </si>
  <si>
    <t>Adjusted Rate Base</t>
  </si>
  <si>
    <t>Amortization Expense</t>
  </si>
  <si>
    <t>Primary Distribution Unit Demand Costs</t>
  </si>
  <si>
    <t>Secondary Distribution Unit Demand Costs</t>
  </si>
  <si>
    <t>PSP</t>
  </si>
  <si>
    <t>PSS</t>
  </si>
  <si>
    <t>Power Service Secondary &amp; TOD Secondary</t>
  </si>
  <si>
    <t>Conroy Exhibit C3</t>
  </si>
  <si>
    <t>Power Service Primary &amp; TOD Primary</t>
  </si>
  <si>
    <t>Unit Cost</t>
  </si>
  <si>
    <t>Calculation of LG&amp;E 100% Load Factor Demand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</si>
</sst>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&quot;$&quot;#,##0\ ;\(&quot;$&quot;#,##0\)"/>
    <numFmt numFmtId="168" formatCode="_([$€-2]* #,##0.00_);_([$€-2]* \(#,##0.00\);_([$€-2]* &quot;-&quot;??_)"/>
    <numFmt numFmtId="169" formatCode="_(&quot;$&quot;* #,##0.0000_);_(&quot;$&quot;* \(#,##0.0000\);_(&quot;$&quot;* &quot;-&quot;??_);_(@_)"/>
    <numFmt numFmtId="170" formatCode="0.0000%"/>
  </numFmts>
  <fonts count="28"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indexed="63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0"/>
      <name val="Courier"/>
      <family val="3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37" fontId="8" fillId="0" borderId="0"/>
    <xf numFmtId="0" fontId="9" fillId="2" borderId="0">
      <alignment horizontal="left"/>
    </xf>
    <xf numFmtId="0" fontId="10" fillId="2" borderId="0">
      <alignment horizontal="right"/>
    </xf>
    <xf numFmtId="0" fontId="11" fillId="3" borderId="0">
      <alignment horizontal="center"/>
    </xf>
    <xf numFmtId="0" fontId="10" fillId="2" borderId="0">
      <alignment horizontal="right"/>
    </xf>
    <xf numFmtId="0" fontId="12" fillId="3" borderId="0">
      <alignment horizontal="left"/>
    </xf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0" fontId="16" fillId="0" borderId="0" applyProtection="0"/>
    <xf numFmtId="0" fontId="3" fillId="0" borderId="0" applyProtection="0"/>
    <xf numFmtId="0" fontId="13" fillId="0" borderId="0" applyProtection="0"/>
    <xf numFmtId="0" fontId="17" fillId="0" borderId="0" applyProtection="0"/>
    <xf numFmtId="2" fontId="3" fillId="0" borderId="0" applyFont="0" applyFill="0" applyBorder="0" applyAlignment="0" applyProtection="0"/>
    <xf numFmtId="0" fontId="9" fillId="2" borderId="0">
      <alignment horizontal="left"/>
    </xf>
    <xf numFmtId="0" fontId="18" fillId="3" borderId="0">
      <alignment horizontal="left"/>
    </xf>
    <xf numFmtId="4" fontId="19" fillId="4" borderId="0">
      <alignment horizontal="right"/>
    </xf>
    <xf numFmtId="0" fontId="20" fillId="4" borderId="0">
      <alignment horizontal="center" vertical="center"/>
    </xf>
    <xf numFmtId="0" fontId="18" fillId="4" borderId="5"/>
    <xf numFmtId="0" fontId="20" fillId="4" borderId="0" applyBorder="0">
      <alignment horizontal="centerContinuous"/>
    </xf>
    <xf numFmtId="0" fontId="21" fillId="4" borderId="0" applyBorder="0">
      <alignment horizontal="centerContinuous"/>
    </xf>
    <xf numFmtId="0" fontId="18" fillId="5" borderId="0">
      <alignment horizontal="center"/>
    </xf>
    <xf numFmtId="49" fontId="22" fillId="3" borderId="0">
      <alignment horizontal="center"/>
    </xf>
    <xf numFmtId="0" fontId="10" fillId="2" borderId="0">
      <alignment horizontal="center"/>
    </xf>
    <xf numFmtId="0" fontId="10" fillId="2" borderId="0">
      <alignment horizontal="centerContinuous"/>
    </xf>
    <xf numFmtId="0" fontId="23" fillId="3" borderId="0">
      <alignment horizontal="left"/>
    </xf>
    <xf numFmtId="49" fontId="23" fillId="3" borderId="0">
      <alignment horizontal="center"/>
    </xf>
    <xf numFmtId="0" fontId="9" fillId="2" borderId="0">
      <alignment horizontal="left"/>
    </xf>
    <xf numFmtId="49" fontId="23" fillId="3" borderId="0">
      <alignment horizontal="left"/>
    </xf>
    <xf numFmtId="0" fontId="9" fillId="2" borderId="0">
      <alignment horizontal="centerContinuous"/>
    </xf>
    <xf numFmtId="0" fontId="9" fillId="2" borderId="0">
      <alignment horizontal="right"/>
    </xf>
    <xf numFmtId="49" fontId="18" fillId="3" borderId="0">
      <alignment horizontal="left"/>
    </xf>
    <xf numFmtId="0" fontId="10" fillId="2" borderId="0">
      <alignment horizontal="right"/>
    </xf>
    <xf numFmtId="0" fontId="23" fillId="6" borderId="0">
      <alignment horizontal="center"/>
    </xf>
    <xf numFmtId="0" fontId="24" fillId="6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3" borderId="0">
      <alignment horizontal="center"/>
    </xf>
    <xf numFmtId="0" fontId="26" fillId="0" borderId="0"/>
    <xf numFmtId="9" fontId="26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164" fontId="0" fillId="0" borderId="0" xfId="2" applyNumberFormat="1" applyFont="1"/>
    <xf numFmtId="165" fontId="0" fillId="0" borderId="0" xfId="1" applyNumberFormat="1" applyFont="1"/>
    <xf numFmtId="164" fontId="0" fillId="0" borderId="1" xfId="2" applyNumberFormat="1" applyFont="1" applyBorder="1"/>
    <xf numFmtId="0" fontId="0" fillId="0" borderId="0" xfId="0" applyBorder="1"/>
    <xf numFmtId="164" fontId="0" fillId="0" borderId="0" xfId="2" applyNumberFormat="1" applyFont="1" applyBorder="1"/>
    <xf numFmtId="165" fontId="0" fillId="0" borderId="0" xfId="1" applyNumberFormat="1" applyFont="1" applyBorder="1"/>
    <xf numFmtId="165" fontId="3" fillId="0" borderId="0" xfId="1" applyNumberFormat="1" applyFont="1" applyFill="1" applyBorder="1"/>
    <xf numFmtId="44" fontId="0" fillId="0" borderId="0" xfId="2" applyFont="1" applyBorder="1"/>
    <xf numFmtId="44" fontId="0" fillId="0" borderId="0" xfId="0" applyNumberFormat="1" applyBorder="1"/>
    <xf numFmtId="0" fontId="1" fillId="0" borderId="0" xfId="0" applyFont="1" applyAlignment="1">
      <alignment horizontal="right"/>
    </xf>
    <xf numFmtId="0" fontId="4" fillId="0" borderId="0" xfId="4" applyFont="1" applyBorder="1" applyAlignment="1"/>
    <xf numFmtId="10" fontId="4" fillId="0" borderId="0" xfId="4" applyNumberFormat="1" applyFont="1" applyBorder="1" applyAlignment="1" applyProtection="1">
      <alignment horizontal="center"/>
    </xf>
    <xf numFmtId="166" fontId="4" fillId="0" borderId="0" xfId="4" applyNumberFormat="1" applyFont="1" applyBorder="1" applyAlignment="1" applyProtection="1"/>
    <xf numFmtId="166" fontId="0" fillId="0" borderId="0" xfId="0" applyNumberFormat="1"/>
    <xf numFmtId="0" fontId="6" fillId="0" borderId="0" xfId="4" applyFont="1" applyBorder="1" applyAlignment="1">
      <alignment horizontal="center"/>
    </xf>
    <xf numFmtId="10" fontId="4" fillId="0" borderId="0" xfId="4" quotePrefix="1" applyNumberFormat="1" applyFont="1" applyBorder="1" applyAlignment="1" applyProtection="1">
      <alignment horizontal="center"/>
    </xf>
    <xf numFmtId="37" fontId="4" fillId="0" borderId="0" xfId="5" applyFont="1" applyFill="1"/>
    <xf numFmtId="169" fontId="0" fillId="0" borderId="2" xfId="2" applyNumberFormat="1" applyFont="1" applyBorder="1"/>
    <xf numFmtId="0" fontId="0" fillId="0" borderId="0" xfId="0" applyFont="1"/>
    <xf numFmtId="0" fontId="4" fillId="0" borderId="0" xfId="0" applyFont="1"/>
    <xf numFmtId="44" fontId="0" fillId="0" borderId="0" xfId="0" applyNumberFormat="1"/>
    <xf numFmtId="166" fontId="4" fillId="0" borderId="0" xfId="3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169" fontId="0" fillId="0" borderId="0" xfId="0" applyNumberForma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164" fontId="4" fillId="0" borderId="0" xfId="2" applyNumberFormat="1" applyFont="1"/>
    <xf numFmtId="165" fontId="4" fillId="0" borderId="0" xfId="1" applyNumberFormat="1" applyFont="1"/>
    <xf numFmtId="164" fontId="4" fillId="0" borderId="1" xfId="2" applyNumberFormat="1" applyFont="1" applyBorder="1"/>
    <xf numFmtId="0" fontId="4" fillId="0" borderId="0" xfId="0" applyFont="1" applyBorder="1"/>
    <xf numFmtId="43" fontId="4" fillId="0" borderId="0" xfId="1" applyFont="1"/>
    <xf numFmtId="0" fontId="4" fillId="0" borderId="0" xfId="0" applyFont="1" applyBorder="1" applyAlignment="1">
      <alignment horizontal="left"/>
    </xf>
    <xf numFmtId="169" fontId="4" fillId="0" borderId="2" xfId="2" applyNumberFormat="1" applyFont="1" applyBorder="1"/>
    <xf numFmtId="169" fontId="4" fillId="0" borderId="0" xfId="0" applyNumberFormat="1" applyFont="1" applyBorder="1" applyAlignment="1">
      <alignment horizontal="left"/>
    </xf>
    <xf numFmtId="44" fontId="4" fillId="0" borderId="0" xfId="0" applyNumberFormat="1" applyFont="1" applyBorder="1"/>
    <xf numFmtId="0" fontId="4" fillId="0" borderId="0" xfId="0" applyFont="1" applyAlignment="1">
      <alignment horizontal="right"/>
    </xf>
    <xf numFmtId="170" fontId="4" fillId="0" borderId="0" xfId="3" applyNumberFormat="1" applyFont="1"/>
    <xf numFmtId="169" fontId="4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5" fontId="4" fillId="0" borderId="0" xfId="1" applyNumberFormat="1" applyFont="1" applyBorder="1" applyAlignment="1"/>
    <xf numFmtId="164" fontId="4" fillId="0" borderId="0" xfId="2" applyNumberFormat="1" applyFont="1" applyBorder="1"/>
    <xf numFmtId="165" fontId="4" fillId="0" borderId="0" xfId="1" applyNumberFormat="1" applyFont="1" applyBorder="1"/>
    <xf numFmtId="165" fontId="27" fillId="0" borderId="0" xfId="1" applyNumberFormat="1" applyFont="1" applyFill="1"/>
    <xf numFmtId="165" fontId="27" fillId="0" borderId="0" xfId="1" applyNumberFormat="1" applyFont="1" applyFill="1" applyBorder="1"/>
    <xf numFmtId="44" fontId="4" fillId="0" borderId="2" xfId="2" applyFont="1" applyBorder="1"/>
    <xf numFmtId="44" fontId="4" fillId="0" borderId="0" xfId="2" applyFont="1" applyBorder="1"/>
    <xf numFmtId="9" fontId="4" fillId="0" borderId="0" xfId="52" applyNumberFormat="1" applyFont="1" applyBorder="1" applyAlignment="1">
      <alignment horizontal="center" vertical="center"/>
    </xf>
    <xf numFmtId="0" fontId="4" fillId="0" borderId="0" xfId="51" applyFont="1"/>
    <xf numFmtId="3" fontId="4" fillId="0" borderId="0" xfId="51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0" fontId="4" fillId="0" borderId="0" xfId="4" applyNumberFormat="1" applyFont="1" applyBorder="1" applyAlignment="1" applyProtection="1">
      <protection locked="0"/>
    </xf>
    <xf numFmtId="10" fontId="5" fillId="0" borderId="0" xfId="4" applyNumberFormat="1" applyFont="1" applyBorder="1" applyAlignment="1" applyProtection="1"/>
    <xf numFmtId="10" fontId="4" fillId="0" borderId="0" xfId="4" applyNumberFormat="1" applyFont="1" applyBorder="1" applyAlignment="1" applyProtection="1"/>
    <xf numFmtId="10" fontId="4" fillId="0" borderId="0" xfId="0" applyNumberFormat="1" applyFont="1"/>
    <xf numFmtId="10" fontId="7" fillId="0" borderId="0" xfId="4" applyNumberFormat="1" applyFont="1" applyBorder="1" applyAlignment="1" applyProtection="1">
      <alignment horizontal="center"/>
      <protection locked="0"/>
    </xf>
    <xf numFmtId="10" fontId="7" fillId="0" borderId="0" xfId="4" applyNumberFormat="1" applyFont="1" applyBorder="1" applyAlignment="1" applyProtection="1"/>
    <xf numFmtId="10" fontId="4" fillId="0" borderId="3" xfId="4" applyNumberFormat="1" applyFont="1" applyBorder="1" applyAlignment="1" applyProtection="1">
      <protection locked="0"/>
    </xf>
    <xf numFmtId="10" fontId="4" fillId="0" borderId="3" xfId="4" applyNumberFormat="1" applyFont="1" applyBorder="1" applyAlignment="1" applyProtection="1"/>
    <xf numFmtId="10" fontId="4" fillId="0" borderId="0" xfId="4" applyNumberFormat="1" applyFont="1" applyBorder="1"/>
    <xf numFmtId="10" fontId="4" fillId="0" borderId="4" xfId="3" applyNumberFormat="1" applyFont="1" applyBorder="1" applyAlignment="1">
      <alignment horizontal="right"/>
    </xf>
    <xf numFmtId="10" fontId="4" fillId="0" borderId="0" xfId="51" applyNumberFormat="1" applyFont="1"/>
    <xf numFmtId="10" fontId="0" fillId="0" borderId="0" xfId="0" applyNumberFormat="1"/>
    <xf numFmtId="10" fontId="4" fillId="0" borderId="0" xfId="3" applyNumberFormat="1" applyFont="1" applyBorder="1" applyAlignment="1">
      <alignment horizontal="right"/>
    </xf>
    <xf numFmtId="0" fontId="4" fillId="0" borderId="0" xfId="51" applyFont="1" applyAlignment="1">
      <alignment horizontal="center" vertical="center"/>
    </xf>
    <xf numFmtId="0" fontId="4" fillId="0" borderId="6" xfId="51" applyFont="1" applyBorder="1" applyAlignment="1">
      <alignment horizontal="center"/>
    </xf>
    <xf numFmtId="0" fontId="4" fillId="0" borderId="7" xfId="51" quotePrefix="1" applyFont="1" applyBorder="1" applyAlignment="1">
      <alignment horizontal="center"/>
    </xf>
    <xf numFmtId="0" fontId="4" fillId="0" borderId="6" xfId="51" quotePrefix="1" applyFont="1" applyBorder="1" applyAlignment="1">
      <alignment horizontal="center"/>
    </xf>
    <xf numFmtId="0" fontId="4" fillId="0" borderId="8" xfId="51" quotePrefix="1" applyFont="1" applyBorder="1" applyAlignment="1">
      <alignment horizontal="center"/>
    </xf>
    <xf numFmtId="0" fontId="4" fillId="0" borderId="0" xfId="51" quotePrefix="1" applyFont="1" applyBorder="1" applyAlignment="1">
      <alignment horizontal="center"/>
    </xf>
    <xf numFmtId="0" fontId="4" fillId="0" borderId="5" xfId="51" quotePrefix="1" applyFont="1" applyBorder="1" applyAlignment="1">
      <alignment horizontal="center"/>
    </xf>
    <xf numFmtId="3" fontId="4" fillId="0" borderId="8" xfId="52" applyNumberFormat="1" applyFont="1" applyBorder="1" applyAlignment="1">
      <alignment horizontal="center" vertical="center"/>
    </xf>
    <xf numFmtId="3" fontId="4" fillId="0" borderId="0" xfId="52" applyNumberFormat="1" applyFont="1" applyBorder="1" applyAlignment="1">
      <alignment horizontal="center" vertical="center"/>
    </xf>
    <xf numFmtId="3" fontId="4" fillId="0" borderId="5" xfId="52" applyNumberFormat="1" applyFont="1" applyBorder="1" applyAlignment="1">
      <alignment horizontal="center" vertical="center"/>
    </xf>
    <xf numFmtId="3" fontId="4" fillId="0" borderId="9" xfId="52" applyNumberFormat="1" applyFont="1" applyBorder="1" applyAlignment="1">
      <alignment horizontal="center" vertical="center"/>
    </xf>
    <xf numFmtId="3" fontId="4" fillId="0" borderId="3" xfId="52" applyNumberFormat="1" applyFont="1" applyBorder="1" applyAlignment="1">
      <alignment horizontal="center" vertical="center"/>
    </xf>
    <xf numFmtId="3" fontId="4" fillId="0" borderId="10" xfId="52" applyNumberFormat="1" applyFont="1" applyBorder="1" applyAlignment="1">
      <alignment horizontal="center" vertical="center"/>
    </xf>
    <xf numFmtId="3" fontId="4" fillId="0" borderId="0" xfId="51" applyNumberFormat="1" applyFont="1" applyBorder="1" applyAlignment="1">
      <alignment horizontal="center" vertical="center"/>
    </xf>
    <xf numFmtId="3" fontId="4" fillId="0" borderId="5" xfId="51" applyNumberFormat="1" applyFont="1" applyBorder="1" applyAlignment="1">
      <alignment horizontal="center" vertical="center"/>
    </xf>
    <xf numFmtId="3" fontId="4" fillId="0" borderId="3" xfId="51" applyNumberFormat="1" applyFont="1" applyBorder="1" applyAlignment="1">
      <alignment horizontal="center" vertical="center"/>
    </xf>
    <xf numFmtId="3" fontId="4" fillId="0" borderId="10" xfId="51" applyNumberFormat="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3" xfId="51" applyFont="1" applyBorder="1" applyAlignment="1">
      <alignment horizontal="center" vertical="center"/>
    </xf>
    <xf numFmtId="0" fontId="4" fillId="0" borderId="9" xfId="51" applyFont="1" applyBorder="1" applyAlignment="1">
      <alignment horizontal="center" vertical="center"/>
    </xf>
    <xf numFmtId="0" fontId="4" fillId="0" borderId="3" xfId="51" applyFont="1" applyBorder="1" applyAlignment="1">
      <alignment horizontal="center" vertical="center"/>
    </xf>
    <xf numFmtId="0" fontId="4" fillId="0" borderId="10" xfId="51" applyFont="1" applyBorder="1" applyAlignment="1">
      <alignment horizontal="center" vertical="center"/>
    </xf>
    <xf numFmtId="3" fontId="6" fillId="0" borderId="6" xfId="51" applyNumberFormat="1" applyFont="1" applyBorder="1" applyAlignment="1">
      <alignment horizontal="center" vertical="center"/>
    </xf>
    <xf numFmtId="0" fontId="6" fillId="0" borderId="6" xfId="51" applyFont="1" applyBorder="1" applyAlignment="1">
      <alignment horizontal="center" vertical="center"/>
    </xf>
    <xf numFmtId="0" fontId="4" fillId="0" borderId="0" xfId="51" applyFont="1" applyAlignment="1">
      <alignment horizontal="center"/>
    </xf>
    <xf numFmtId="9" fontId="4" fillId="0" borderId="8" xfId="52" applyNumberFormat="1" applyFont="1" applyBorder="1" applyAlignment="1">
      <alignment horizontal="center" vertical="center"/>
    </xf>
    <xf numFmtId="9" fontId="4" fillId="0" borderId="0" xfId="52" applyNumberFormat="1" applyFont="1" applyBorder="1" applyAlignment="1">
      <alignment horizontal="center" vertical="center"/>
    </xf>
    <xf numFmtId="9" fontId="4" fillId="0" borderId="5" xfId="52" applyNumberFormat="1" applyFont="1" applyBorder="1" applyAlignment="1">
      <alignment horizontal="center" vertical="center"/>
    </xf>
    <xf numFmtId="9" fontId="4" fillId="0" borderId="9" xfId="52" applyNumberFormat="1" applyFont="1" applyBorder="1" applyAlignment="1">
      <alignment horizontal="center" vertical="center"/>
    </xf>
    <xf numFmtId="9" fontId="4" fillId="0" borderId="3" xfId="52" applyNumberFormat="1" applyFont="1" applyBorder="1" applyAlignment="1">
      <alignment horizontal="center" vertical="center"/>
    </xf>
    <xf numFmtId="9" fontId="4" fillId="0" borderId="10" xfId="52" applyNumberFormat="1" applyFont="1" applyBorder="1" applyAlignment="1">
      <alignment horizontal="center" vertical="center"/>
    </xf>
  </cellXfs>
  <cellStyles count="53">
    <cellStyle name="ColumnAttributeAbovePrompt" xfId="6"/>
    <cellStyle name="ColumnAttributePrompt" xfId="7"/>
    <cellStyle name="ColumnAttributeValue" xfId="8"/>
    <cellStyle name="ColumnHeadingPrompt" xfId="9"/>
    <cellStyle name="ColumnHeadingValue" xfId="10"/>
    <cellStyle name="Comma" xfId="1" builtinId="3"/>
    <cellStyle name="Comma0" xfId="11"/>
    <cellStyle name="Currency" xfId="2" builtinId="4"/>
    <cellStyle name="Currency0" xfId="12"/>
    <cellStyle name="Date" xfId="13"/>
    <cellStyle name="Euro" xfId="14"/>
    <cellStyle name="F2" xfId="15"/>
    <cellStyle name="F3" xfId="16"/>
    <cellStyle name="F4" xfId="17"/>
    <cellStyle name="F5" xfId="18"/>
    <cellStyle name="F6" xfId="19"/>
    <cellStyle name="F7" xfId="20"/>
    <cellStyle name="F8" xfId="21"/>
    <cellStyle name="Fixed" xfId="22"/>
    <cellStyle name="LineItemPrompt" xfId="23"/>
    <cellStyle name="LineItemValue" xfId="24"/>
    <cellStyle name="Normal" xfId="0" builtinId="0"/>
    <cellStyle name="Normal 2" xfId="51"/>
    <cellStyle name="Normal_FERC COC" xfId="4"/>
    <cellStyle name="Normal_KU RR Exhibits 12mosAPR 2008 SETTLEMENT JAN09 (Working File)" xfId="5"/>
    <cellStyle name="Output Amounts" xfId="25"/>
    <cellStyle name="Output Column Headings" xfId="26"/>
    <cellStyle name="Output Line Items" xfId="27"/>
    <cellStyle name="Output Report Heading" xfId="28"/>
    <cellStyle name="Output Report Title" xfId="29"/>
    <cellStyle name="Percent" xfId="3" builtinId="5"/>
    <cellStyle name="Percent 2" xfId="52"/>
    <cellStyle name="ReportTitlePrompt" xfId="30"/>
    <cellStyle name="ReportTitleValue" xfId="31"/>
    <cellStyle name="RowAcctAbovePrompt" xfId="32"/>
    <cellStyle name="RowAcctSOBAbovePrompt" xfId="33"/>
    <cellStyle name="RowAcctSOBValue" xfId="34"/>
    <cellStyle name="RowAcctValue" xfId="35"/>
    <cellStyle name="RowAttrAbovePrompt" xfId="36"/>
    <cellStyle name="RowAttrValue" xfId="37"/>
    <cellStyle name="RowColSetAbovePrompt" xfId="38"/>
    <cellStyle name="RowColSetLeftPrompt" xfId="39"/>
    <cellStyle name="RowColSetValue" xfId="40"/>
    <cellStyle name="RowLeftPrompt" xfId="41"/>
    <cellStyle name="SampleUsingFormatMask" xfId="42"/>
    <cellStyle name="SampleWithNoFormatMask" xfId="43"/>
    <cellStyle name="STYL5 - Style5" xfId="44"/>
    <cellStyle name="STYL6 - Style6" xfId="45"/>
    <cellStyle name="STYLE1 - Style1" xfId="46"/>
    <cellStyle name="STYLE2 - Style2" xfId="47"/>
    <cellStyle name="STYLE3 - Style3" xfId="48"/>
    <cellStyle name="STYLE4 - Style4" xfId="49"/>
    <cellStyle name="UploadThisRowValue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LG&amp;E\2008\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004977\Temporary%20Internet%20Files\OLK2D\Rate%20Case%20LGE%20La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abSelected="1" view="pageBreakPreview" zoomScale="60" zoomScaleNormal="100" workbookViewId="0">
      <selection activeCell="A2" sqref="A2"/>
    </sheetView>
  </sheetViews>
  <sheetFormatPr defaultRowHeight="15"/>
  <cols>
    <col min="1" max="1" width="45.7109375" customWidth="1"/>
    <col min="2" max="2" width="54.7109375" customWidth="1"/>
    <col min="3" max="3" width="11.140625" customWidth="1"/>
    <col min="4" max="4" width="19" bestFit="1" customWidth="1"/>
    <col min="5" max="5" width="18.7109375" bestFit="1" customWidth="1"/>
    <col min="6" max="6" width="3" customWidth="1"/>
    <col min="7" max="7" width="19.140625" bestFit="1" customWidth="1"/>
    <col min="8" max="8" width="10.85546875" customWidth="1"/>
    <col min="9" max="9" width="15.28515625" customWidth="1"/>
    <col min="10" max="12" width="12.7109375" customWidth="1"/>
    <col min="13" max="13" width="13" customWidth="1"/>
  </cols>
  <sheetData>
    <row r="1" spans="1:13" ht="15.75">
      <c r="A1" s="27"/>
      <c r="B1" s="27"/>
      <c r="C1" s="27"/>
      <c r="D1" s="22"/>
      <c r="E1" s="22"/>
      <c r="F1" s="22"/>
      <c r="G1" s="22"/>
      <c r="H1" s="22"/>
      <c r="I1" s="22"/>
    </row>
    <row r="2" spans="1:13" ht="15.75">
      <c r="A2" s="54" t="s">
        <v>0</v>
      </c>
      <c r="B2" s="55"/>
      <c r="C2" s="55"/>
      <c r="D2" s="55"/>
      <c r="E2" s="55"/>
      <c r="F2" s="55"/>
      <c r="G2" s="55"/>
      <c r="H2" s="55"/>
      <c r="I2" s="55"/>
    </row>
    <row r="3" spans="1:13" ht="15.75">
      <c r="A3" s="54" t="s">
        <v>1</v>
      </c>
      <c r="B3" s="55"/>
      <c r="C3" s="55"/>
      <c r="D3" s="55"/>
      <c r="E3" s="55"/>
      <c r="F3" s="55"/>
      <c r="G3" s="55"/>
      <c r="H3" s="55"/>
      <c r="I3" s="55"/>
    </row>
    <row r="4" spans="1:13" ht="15.75">
      <c r="A4" s="54"/>
      <c r="B4" s="55"/>
      <c r="C4" s="55"/>
      <c r="D4" s="55"/>
      <c r="E4" s="55"/>
      <c r="F4" s="55"/>
      <c r="G4" s="55"/>
      <c r="H4" s="55"/>
      <c r="I4" s="55"/>
    </row>
    <row r="5" spans="1:13" ht="15.75">
      <c r="B5" s="22"/>
      <c r="C5" s="22"/>
      <c r="D5" s="22"/>
      <c r="E5" s="22"/>
      <c r="F5" s="22"/>
      <c r="G5" s="22"/>
      <c r="H5" s="22"/>
      <c r="I5" s="22"/>
    </row>
    <row r="6" spans="1:13" ht="15.75">
      <c r="A6" s="22"/>
      <c r="B6" s="22"/>
      <c r="C6" s="22"/>
      <c r="D6" s="28" t="s">
        <v>2</v>
      </c>
      <c r="E6" s="28" t="s">
        <v>2</v>
      </c>
      <c r="F6" s="28"/>
      <c r="G6" s="28"/>
      <c r="H6" s="28"/>
      <c r="I6" s="28"/>
      <c r="J6" s="2"/>
      <c r="K6" s="2"/>
      <c r="L6" s="2"/>
    </row>
    <row r="7" spans="1:13" ht="15.75">
      <c r="A7" s="22"/>
      <c r="B7" s="22"/>
      <c r="C7" s="22"/>
      <c r="D7" s="28" t="s">
        <v>3</v>
      </c>
      <c r="E7" s="28" t="s">
        <v>4</v>
      </c>
      <c r="F7" s="28"/>
      <c r="G7" s="28"/>
      <c r="H7" s="28"/>
      <c r="I7" s="28"/>
      <c r="J7" s="2"/>
      <c r="K7" s="2"/>
      <c r="L7" s="2"/>
    </row>
    <row r="8" spans="1:13" ht="15.75">
      <c r="A8" s="22"/>
      <c r="B8" s="53" t="s">
        <v>5</v>
      </c>
      <c r="C8" s="41"/>
      <c r="D8" s="28" t="s">
        <v>6</v>
      </c>
      <c r="E8" s="28" t="s">
        <v>6</v>
      </c>
      <c r="F8" s="28"/>
      <c r="G8" s="28" t="s">
        <v>2</v>
      </c>
      <c r="H8" s="22"/>
      <c r="I8" s="28"/>
      <c r="J8" s="2"/>
      <c r="K8" s="2"/>
    </row>
    <row r="9" spans="1:13" ht="15.75">
      <c r="A9" s="22"/>
      <c r="B9" s="22"/>
      <c r="C9" s="22"/>
      <c r="D9" s="22"/>
      <c r="E9" s="22"/>
      <c r="F9" s="22"/>
      <c r="G9" s="22"/>
      <c r="H9" s="22"/>
      <c r="I9" s="22"/>
    </row>
    <row r="10" spans="1:13" ht="15.75">
      <c r="A10" s="22" t="s">
        <v>7</v>
      </c>
      <c r="B10" s="22" t="s">
        <v>68</v>
      </c>
      <c r="C10" s="22"/>
      <c r="D10" s="29">
        <v>121412889</v>
      </c>
      <c r="E10" s="29">
        <v>21937345.685325537</v>
      </c>
      <c r="F10" s="29"/>
      <c r="G10" s="29">
        <f t="shared" ref="G10:G14" si="0">SUM(D10:F10)</f>
        <v>143350234.68532553</v>
      </c>
      <c r="H10" s="22"/>
      <c r="I10" s="29"/>
      <c r="J10" s="3"/>
      <c r="K10" s="3"/>
    </row>
    <row r="11" spans="1:13" ht="15.75">
      <c r="A11" s="22" t="s">
        <v>8</v>
      </c>
      <c r="B11" s="22" t="s">
        <v>68</v>
      </c>
      <c r="C11" s="22"/>
      <c r="D11" s="30">
        <v>89841242</v>
      </c>
      <c r="E11" s="30">
        <v>6282595.5529799554</v>
      </c>
      <c r="F11" s="30"/>
      <c r="G11" s="29">
        <f t="shared" si="0"/>
        <v>96123837.552979961</v>
      </c>
      <c r="H11" s="22"/>
      <c r="I11" s="30"/>
      <c r="J11" s="4"/>
      <c r="K11" s="4"/>
      <c r="M11" s="3"/>
    </row>
    <row r="12" spans="1:13" ht="15.75">
      <c r="A12" s="22" t="s">
        <v>9</v>
      </c>
      <c r="B12" s="22" t="s">
        <v>68</v>
      </c>
      <c r="C12" s="22"/>
      <c r="D12" s="30">
        <v>1616361</v>
      </c>
      <c r="E12" s="30">
        <v>4325.3246654872182</v>
      </c>
      <c r="F12" s="30"/>
      <c r="G12" s="29">
        <f t="shared" si="0"/>
        <v>1620686.3246654873</v>
      </c>
      <c r="H12" s="22"/>
      <c r="I12" s="30"/>
      <c r="J12" s="4"/>
      <c r="K12" s="4"/>
    </row>
    <row r="13" spans="1:13" ht="15.75">
      <c r="A13" s="22" t="s">
        <v>10</v>
      </c>
      <c r="B13" s="22" t="s">
        <v>68</v>
      </c>
      <c r="C13" s="22"/>
      <c r="D13" s="30">
        <v>14538440</v>
      </c>
      <c r="E13" s="30">
        <v>1561011.8476076981</v>
      </c>
      <c r="F13" s="30"/>
      <c r="G13" s="29">
        <f t="shared" si="0"/>
        <v>16099451.847607698</v>
      </c>
      <c r="H13" s="22"/>
      <c r="I13" s="30"/>
      <c r="J13" s="4"/>
      <c r="K13" s="4"/>
    </row>
    <row r="14" spans="1:13" ht="15.75">
      <c r="A14" s="22" t="s">
        <v>55</v>
      </c>
      <c r="B14" s="22" t="s">
        <v>68</v>
      </c>
      <c r="C14" s="22"/>
      <c r="D14" s="30">
        <v>-460</v>
      </c>
      <c r="E14" s="30">
        <v>-49.419055721251254</v>
      </c>
      <c r="F14" s="30"/>
      <c r="G14" s="29">
        <f t="shared" si="0"/>
        <v>-509.41905572125125</v>
      </c>
      <c r="H14" s="22"/>
      <c r="I14" s="30"/>
      <c r="J14" s="4"/>
      <c r="K14" s="4"/>
    </row>
    <row r="15" spans="1:13" ht="15.75">
      <c r="A15" s="22" t="s">
        <v>57</v>
      </c>
      <c r="B15" s="22" t="s">
        <v>68</v>
      </c>
      <c r="C15" s="22"/>
      <c r="D15" s="30">
        <v>-3812290</v>
      </c>
      <c r="E15" s="30">
        <v>-7279.9495882428873</v>
      </c>
      <c r="F15" s="30"/>
      <c r="G15" s="29">
        <f t="shared" ref="G15:G16" si="1">SUM(D15:F15)</f>
        <v>-3819569.9495882429</v>
      </c>
      <c r="H15" s="22"/>
      <c r="I15" s="30"/>
      <c r="J15" s="4"/>
      <c r="K15" s="4"/>
    </row>
    <row r="16" spans="1:13" ht="15.75">
      <c r="A16" s="22" t="s">
        <v>62</v>
      </c>
      <c r="B16" s="22" t="s">
        <v>68</v>
      </c>
      <c r="C16" s="22"/>
      <c r="D16" s="30">
        <v>3659448.8440833366</v>
      </c>
      <c r="E16" s="30">
        <v>375385.54077443009</v>
      </c>
      <c r="F16" s="30"/>
      <c r="G16" s="29">
        <f t="shared" si="1"/>
        <v>4034834.3848577668</v>
      </c>
      <c r="H16" s="22"/>
      <c r="I16" s="30"/>
      <c r="J16" s="4"/>
      <c r="K16" s="4"/>
    </row>
    <row r="17" spans="1:11" ht="15.75">
      <c r="A17" s="22" t="s">
        <v>56</v>
      </c>
      <c r="B17" s="22" t="s">
        <v>68</v>
      </c>
      <c r="C17" s="22"/>
      <c r="D17" s="30">
        <v>-1765173</v>
      </c>
      <c r="E17" s="30">
        <v>-189529.02400636449</v>
      </c>
      <c r="F17" s="30"/>
      <c r="G17" s="29">
        <f>SUM(D17:F17)</f>
        <v>-1954702.0240063644</v>
      </c>
      <c r="H17" s="22"/>
      <c r="I17" s="30"/>
      <c r="J17" s="4"/>
      <c r="K17" s="4"/>
    </row>
    <row r="18" spans="1:11" ht="15.75">
      <c r="A18" s="22" t="s">
        <v>60</v>
      </c>
      <c r="B18" s="22" t="s">
        <v>68</v>
      </c>
      <c r="C18" s="42"/>
      <c r="D18" s="43">
        <v>-1405740.3639904987</v>
      </c>
      <c r="E18" s="43">
        <v>-2610821.2185529624</v>
      </c>
      <c r="F18" s="43"/>
      <c r="G18" s="29">
        <f>SUM(D18:F18)</f>
        <v>-4016561.5825434611</v>
      </c>
      <c r="H18" s="22"/>
      <c r="I18" s="30"/>
      <c r="J18" s="4"/>
      <c r="K18" s="4"/>
    </row>
    <row r="19" spans="1:11" ht="15.75">
      <c r="A19" s="22"/>
      <c r="B19" s="22"/>
      <c r="C19" s="22"/>
      <c r="D19" s="30"/>
      <c r="E19" s="30"/>
      <c r="F19" s="30"/>
      <c r="G19" s="30"/>
      <c r="H19" s="22"/>
      <c r="I19" s="30"/>
      <c r="J19" s="4"/>
      <c r="K19" s="4"/>
    </row>
    <row r="20" spans="1:11" ht="15.75">
      <c r="A20" s="22" t="s">
        <v>11</v>
      </c>
      <c r="B20" s="22"/>
      <c r="C20" s="22"/>
      <c r="D20" s="31">
        <f>SUM(D10:D19)</f>
        <v>224084717.48009285</v>
      </c>
      <c r="E20" s="31">
        <f>SUM(E10:E19)</f>
        <v>27352984.34014982</v>
      </c>
      <c r="F20" s="31"/>
      <c r="G20" s="31">
        <f>SUM(D20:F20)</f>
        <v>251437701.82024267</v>
      </c>
      <c r="H20" s="32"/>
      <c r="I20" s="44"/>
      <c r="J20" s="7"/>
      <c r="K20" s="7"/>
    </row>
    <row r="21" spans="1:11" ht="15.75">
      <c r="A21" s="22"/>
      <c r="B21" s="22"/>
      <c r="C21" s="22"/>
      <c r="D21" s="30"/>
      <c r="E21" s="30"/>
      <c r="F21" s="30"/>
      <c r="G21" s="30"/>
      <c r="H21" s="32"/>
      <c r="I21" s="45"/>
      <c r="J21" s="8"/>
      <c r="K21" s="8"/>
    </row>
    <row r="22" spans="1:11" ht="15.75">
      <c r="A22" s="22" t="s">
        <v>61</v>
      </c>
      <c r="B22" s="22" t="s">
        <v>68</v>
      </c>
      <c r="C22" s="22"/>
      <c r="D22" s="30">
        <v>1170051684.4299476</v>
      </c>
      <c r="E22" s="30">
        <v>120023671.05196956</v>
      </c>
      <c r="F22" s="30"/>
      <c r="G22" s="30">
        <f>SUM(D22:F22)</f>
        <v>1290075355.4819171</v>
      </c>
      <c r="H22" s="32"/>
      <c r="I22" s="45"/>
      <c r="J22" s="8"/>
      <c r="K22" s="8"/>
    </row>
    <row r="23" spans="1:11" ht="15.75">
      <c r="A23" s="22"/>
      <c r="B23" s="22"/>
      <c r="C23" s="22"/>
      <c r="D23" s="30"/>
      <c r="E23" s="30"/>
      <c r="F23" s="30"/>
      <c r="G23" s="30"/>
      <c r="H23" s="32"/>
      <c r="I23" s="45"/>
      <c r="J23" s="8"/>
      <c r="K23" s="8"/>
    </row>
    <row r="24" spans="1:11" ht="15.75">
      <c r="A24" s="22" t="s">
        <v>12</v>
      </c>
      <c r="B24" s="22" t="s">
        <v>13</v>
      </c>
      <c r="C24" s="22"/>
      <c r="D24" s="30">
        <f>D22*G48</f>
        <v>91231363.542506635</v>
      </c>
      <c r="E24" s="30">
        <f>E22*G48</f>
        <v>9358495.2811578549</v>
      </c>
      <c r="F24" s="30"/>
      <c r="G24" s="30">
        <f>SUM(D24:F24)</f>
        <v>100589858.82366449</v>
      </c>
      <c r="H24" s="32"/>
      <c r="I24" s="45"/>
      <c r="J24" s="8"/>
      <c r="K24" s="8"/>
    </row>
    <row r="25" spans="1:11" ht="15.75">
      <c r="A25" s="22"/>
      <c r="B25" s="22"/>
      <c r="C25" s="22"/>
      <c r="D25" s="30"/>
      <c r="E25" s="30"/>
      <c r="F25" s="30"/>
      <c r="G25" s="30"/>
      <c r="H25" s="32"/>
      <c r="I25" s="45"/>
      <c r="J25" s="8"/>
      <c r="K25" s="8"/>
    </row>
    <row r="26" spans="1:11" ht="15.75">
      <c r="A26" s="22" t="s">
        <v>14</v>
      </c>
      <c r="B26" s="22" t="s">
        <v>15</v>
      </c>
      <c r="C26" s="22"/>
      <c r="D26" s="30">
        <f>$H$46*D22</f>
        <v>42724606.598313421</v>
      </c>
      <c r="E26" s="30">
        <f>$H$46*E22</f>
        <v>4382681.7194653554</v>
      </c>
      <c r="F26" s="30"/>
      <c r="G26" s="30">
        <f>SUM(D26:F26)</f>
        <v>47107288.317778774</v>
      </c>
      <c r="H26" s="32"/>
      <c r="I26" s="45"/>
      <c r="J26" s="8"/>
      <c r="K26" s="8"/>
    </row>
    <row r="27" spans="1:11" ht="15.75">
      <c r="A27" s="22"/>
      <c r="B27" s="22"/>
      <c r="C27" s="22"/>
      <c r="D27" s="30"/>
      <c r="E27" s="30"/>
      <c r="F27" s="30"/>
      <c r="G27" s="30"/>
      <c r="H27" s="32"/>
      <c r="I27" s="45"/>
      <c r="J27" s="8"/>
      <c r="K27" s="8"/>
    </row>
    <row r="28" spans="1:11" ht="15.75">
      <c r="A28" s="22" t="s">
        <v>16</v>
      </c>
      <c r="B28" s="22" t="s">
        <v>17</v>
      </c>
      <c r="C28" s="22"/>
      <c r="D28" s="31">
        <f>D20+D24+D26</f>
        <v>358040687.62091291</v>
      </c>
      <c r="E28" s="31">
        <f>E20+E24+E26</f>
        <v>41094161.340773024</v>
      </c>
      <c r="F28" s="31"/>
      <c r="G28" s="31">
        <f>SUM(D28:F28)</f>
        <v>399134848.96168596</v>
      </c>
      <c r="H28" s="32"/>
      <c r="I28" s="44"/>
      <c r="J28" s="7"/>
      <c r="K28" s="7"/>
    </row>
    <row r="29" spans="1:11" ht="15.75">
      <c r="A29" s="22"/>
      <c r="B29" s="22"/>
      <c r="C29" s="22"/>
      <c r="D29" s="22"/>
      <c r="E29" s="22"/>
      <c r="F29" s="22"/>
      <c r="G29" s="22"/>
      <c r="H29" s="32"/>
      <c r="I29" s="32"/>
      <c r="J29" s="6"/>
      <c r="K29" s="6"/>
    </row>
    <row r="30" spans="1:11" ht="15.75">
      <c r="A30" s="22" t="s">
        <v>18</v>
      </c>
      <c r="B30" s="22" t="s">
        <v>48</v>
      </c>
      <c r="C30" s="22"/>
      <c r="D30" s="30">
        <f>'Demand Calc'!C20</f>
        <v>35375106.666666664</v>
      </c>
      <c r="E30" s="30">
        <f>D30</f>
        <v>35375106.666666664</v>
      </c>
      <c r="F30" s="46"/>
      <c r="G30" s="30">
        <f>D30</f>
        <v>35375106.666666664</v>
      </c>
      <c r="H30" s="32"/>
      <c r="I30" s="47"/>
      <c r="J30" s="9"/>
      <c r="K30" s="9"/>
    </row>
    <row r="31" spans="1:11" ht="15.75">
      <c r="A31" s="22"/>
      <c r="B31" s="22"/>
      <c r="C31" s="22"/>
      <c r="D31" s="22"/>
      <c r="E31" s="22"/>
      <c r="F31" s="22"/>
      <c r="G31" s="22"/>
      <c r="H31" s="32"/>
      <c r="I31" s="32"/>
      <c r="J31" s="6"/>
      <c r="K31" s="6"/>
    </row>
    <row r="32" spans="1:11" ht="16.5" thickBot="1">
      <c r="A32" s="22" t="s">
        <v>70</v>
      </c>
      <c r="B32" s="22" t="s">
        <v>19</v>
      </c>
      <c r="C32" s="22"/>
      <c r="D32" s="48">
        <f>D28/D30</f>
        <v>10.121261004091567</v>
      </c>
      <c r="E32" s="48">
        <f>E28/E30</f>
        <v>1.1616689025985418</v>
      </c>
      <c r="F32" s="48"/>
      <c r="G32" s="48">
        <f>G28/G30</f>
        <v>11.282929906690109</v>
      </c>
      <c r="H32" s="32"/>
      <c r="I32" s="49"/>
      <c r="J32" s="10"/>
      <c r="K32" s="10"/>
    </row>
    <row r="33" spans="1:12" ht="16.5" thickTop="1">
      <c r="A33" s="22"/>
      <c r="B33" s="22"/>
      <c r="C33" s="22"/>
      <c r="D33" s="22"/>
      <c r="E33" s="22"/>
      <c r="F33" s="22"/>
      <c r="G33" s="22"/>
      <c r="H33" s="22"/>
      <c r="I33" s="22"/>
    </row>
    <row r="34" spans="1:12" ht="15.75">
      <c r="A34" s="32"/>
      <c r="B34" s="32"/>
      <c r="C34" s="32"/>
      <c r="D34" s="37"/>
      <c r="E34" s="37"/>
      <c r="F34" s="37"/>
      <c r="G34" s="37"/>
      <c r="H34" s="37"/>
      <c r="I34" s="37"/>
      <c r="J34" s="11"/>
      <c r="K34" s="11"/>
      <c r="L34" s="11"/>
    </row>
    <row r="35" spans="1:12" ht="15.75">
      <c r="A35" s="22"/>
      <c r="B35" s="22"/>
      <c r="C35" s="22"/>
      <c r="D35" s="22"/>
      <c r="E35" s="22"/>
      <c r="F35" s="22"/>
      <c r="G35" s="22"/>
      <c r="H35" s="22"/>
      <c r="I35" s="22"/>
    </row>
    <row r="36" spans="1:12" ht="15.75">
      <c r="A36" s="22"/>
      <c r="B36" s="22"/>
      <c r="C36" s="22"/>
      <c r="D36" s="22"/>
      <c r="E36" s="22"/>
      <c r="F36" s="22"/>
      <c r="G36" s="38"/>
      <c r="H36" s="38"/>
      <c r="I36" s="38" t="s">
        <v>20</v>
      </c>
    </row>
    <row r="37" spans="1:12" ht="15.75">
      <c r="A37" s="22"/>
      <c r="B37" s="22"/>
      <c r="C37" s="22"/>
      <c r="D37" s="22"/>
      <c r="E37" s="22"/>
      <c r="F37" s="22"/>
      <c r="G37" s="38"/>
      <c r="H37" s="38"/>
      <c r="I37" s="38" t="s">
        <v>21</v>
      </c>
    </row>
    <row r="38" spans="1:12" ht="15.75">
      <c r="A38" s="22"/>
      <c r="B38" s="22"/>
      <c r="C38" s="22"/>
      <c r="D38" s="22"/>
      <c r="E38" s="22"/>
      <c r="F38" s="22"/>
      <c r="G38" s="38" t="s">
        <v>20</v>
      </c>
      <c r="H38" s="38"/>
      <c r="I38" s="38" t="s">
        <v>22</v>
      </c>
    </row>
    <row r="39" spans="1:12" ht="15.75">
      <c r="A39" s="22"/>
      <c r="B39" s="22"/>
      <c r="C39" s="22"/>
      <c r="D39" s="22"/>
      <c r="E39" s="22"/>
      <c r="F39" s="22"/>
      <c r="G39" s="38" t="s">
        <v>21</v>
      </c>
      <c r="H39" s="38" t="s">
        <v>23</v>
      </c>
      <c r="I39" s="38" t="s">
        <v>24</v>
      </c>
    </row>
    <row r="40" spans="1:12" ht="15.75">
      <c r="A40" s="22"/>
      <c r="B40" s="22"/>
      <c r="C40" s="22"/>
      <c r="D40" s="22"/>
      <c r="E40" s="22"/>
      <c r="F40" s="22"/>
      <c r="G40" s="38" t="s">
        <v>22</v>
      </c>
      <c r="H40" s="38" t="s">
        <v>25</v>
      </c>
      <c r="I40" s="38" t="s">
        <v>26</v>
      </c>
    </row>
    <row r="41" spans="1:12" ht="15.75">
      <c r="A41" s="22"/>
      <c r="B41" s="22"/>
      <c r="C41" s="22"/>
      <c r="D41" s="22"/>
      <c r="E41" s="22"/>
      <c r="F41" s="22"/>
      <c r="G41" s="22"/>
      <c r="H41" s="22"/>
      <c r="I41" s="22"/>
    </row>
    <row r="42" spans="1:12" ht="15.75">
      <c r="A42" s="13" t="s">
        <v>27</v>
      </c>
      <c r="B42" s="13"/>
      <c r="C42" s="13"/>
      <c r="D42" s="56">
        <v>0</v>
      </c>
      <c r="E42" s="57">
        <v>4.1000000000000003E-3</v>
      </c>
      <c r="F42" s="14"/>
      <c r="G42" s="58">
        <f>D42*E42</f>
        <v>0</v>
      </c>
      <c r="H42" s="59"/>
      <c r="I42" s="59">
        <f>G42+H42</f>
        <v>0</v>
      </c>
    </row>
    <row r="43" spans="1:12" ht="15.75">
      <c r="A43" s="17"/>
      <c r="B43" s="17"/>
      <c r="C43" s="17"/>
      <c r="D43" s="60"/>
      <c r="E43" s="61"/>
      <c r="F43" s="14"/>
      <c r="G43" s="61"/>
      <c r="H43" s="59"/>
      <c r="I43" s="59"/>
    </row>
    <row r="44" spans="1:12" ht="15.75">
      <c r="A44" s="13" t="s">
        <v>28</v>
      </c>
      <c r="B44" s="13"/>
      <c r="C44" s="13"/>
      <c r="D44" s="56">
        <v>0.44359999999999999</v>
      </c>
      <c r="E44" s="57">
        <v>3.78E-2</v>
      </c>
      <c r="F44" s="18"/>
      <c r="G44" s="58">
        <f>E44*D44</f>
        <v>1.6768080000000001E-2</v>
      </c>
      <c r="H44" s="59"/>
      <c r="I44" s="59">
        <f>G44+H44</f>
        <v>1.6768080000000001E-2</v>
      </c>
    </row>
    <row r="45" spans="1:12" ht="15.75">
      <c r="A45" s="17"/>
      <c r="B45" s="17"/>
      <c r="C45" s="17"/>
      <c r="D45" s="60"/>
      <c r="E45" s="61"/>
      <c r="F45" s="14"/>
      <c r="G45" s="61"/>
      <c r="H45" s="59"/>
      <c r="I45" s="59"/>
    </row>
    <row r="46" spans="1:12" ht="15.75">
      <c r="A46" s="13" t="s">
        <v>29</v>
      </c>
      <c r="B46" s="13"/>
      <c r="C46" s="13"/>
      <c r="D46" s="62">
        <v>0.55640000000000001</v>
      </c>
      <c r="E46" s="58">
        <v>0.11</v>
      </c>
      <c r="F46" s="18"/>
      <c r="G46" s="63">
        <f>D46*E46</f>
        <v>6.1204000000000001E-2</v>
      </c>
      <c r="H46" s="59">
        <f>I46*D51</f>
        <v>3.6515144729806499E-2</v>
      </c>
      <c r="I46" s="63">
        <f>G46/(1-D51)</f>
        <v>9.7719144729806501E-2</v>
      </c>
    </row>
    <row r="47" spans="1:12" ht="15.75">
      <c r="A47" s="17"/>
      <c r="B47" s="17"/>
      <c r="C47" s="17"/>
      <c r="D47" s="64"/>
      <c r="E47" s="58"/>
      <c r="F47" s="14"/>
      <c r="G47" s="14"/>
      <c r="H47" s="59"/>
      <c r="I47" s="59"/>
    </row>
    <row r="48" spans="1:12" ht="16.5" thickBot="1">
      <c r="A48" s="19" t="s">
        <v>30</v>
      </c>
      <c r="B48" s="19"/>
      <c r="C48" s="19"/>
      <c r="D48" s="65">
        <f>D42+D44+D46</f>
        <v>1</v>
      </c>
      <c r="E48" s="14"/>
      <c r="F48" s="14"/>
      <c r="G48" s="65">
        <f>G42+G44+G46</f>
        <v>7.7972079999999999E-2</v>
      </c>
      <c r="H48" s="59"/>
      <c r="I48" s="65">
        <f>I42+I44+I46</f>
        <v>0.11448722472980651</v>
      </c>
    </row>
    <row r="49" spans="1:9" ht="16.5" thickTop="1">
      <c r="A49" s="22"/>
      <c r="B49" s="22"/>
      <c r="C49" s="22"/>
      <c r="D49" s="22"/>
      <c r="E49" s="22"/>
      <c r="F49" s="22"/>
      <c r="G49" s="22"/>
      <c r="H49" s="22"/>
      <c r="I49" s="22"/>
    </row>
    <row r="50" spans="1:9" ht="15.75">
      <c r="A50" s="22"/>
      <c r="B50" s="22"/>
      <c r="C50" s="22"/>
      <c r="D50" s="22"/>
      <c r="E50" s="22"/>
      <c r="F50" s="22"/>
      <c r="G50" s="22"/>
      <c r="H50" s="22"/>
      <c r="I50" s="22"/>
    </row>
    <row r="51" spans="1:9" ht="15.75">
      <c r="A51" s="22" t="s">
        <v>31</v>
      </c>
      <c r="B51" s="22"/>
      <c r="C51" s="22"/>
      <c r="D51" s="39">
        <v>0.37367441999999995</v>
      </c>
    </row>
    <row r="54" spans="1:9">
      <c r="A54" s="2"/>
    </row>
    <row r="55" spans="1:9">
      <c r="B55" s="21"/>
      <c r="C55" s="21"/>
    </row>
    <row r="56" spans="1:9">
      <c r="B56" s="1"/>
      <c r="C56" s="1"/>
    </row>
    <row r="57" spans="1:9">
      <c r="B57" s="1"/>
      <c r="C57" s="1"/>
    </row>
  </sheetData>
  <pageMargins left="0.7" right="0.7" top="1" bottom="0.75" header="0.75" footer="0.3"/>
  <pageSetup scale="63" orientation="landscape" r:id="rId1"/>
  <headerFooter>
    <oddHeader>&amp;C&amp;"Times New Roman,Bold"&amp;14Louisville Gas and Electric Company&amp;12
Supplemental / Standby Rate Cost Support</oddHeader>
    <oddFooter>&amp;R&amp;"Times New Roman,Bold"&amp;12Conroy Exhibit M3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zoomScale="60" zoomScaleNormal="100" workbookViewId="0">
      <selection activeCell="H40" sqref="H40"/>
    </sheetView>
  </sheetViews>
  <sheetFormatPr defaultRowHeight="15"/>
  <cols>
    <col min="1" max="1" width="45.7109375" customWidth="1"/>
    <col min="2" max="2" width="54.7109375" customWidth="1"/>
    <col min="3" max="3" width="5.28515625" customWidth="1"/>
    <col min="4" max="7" width="18.7109375" customWidth="1"/>
    <col min="8" max="13" width="15.7109375" customWidth="1"/>
    <col min="14" max="14" width="12.7109375" customWidth="1"/>
    <col min="15" max="15" width="16.5703125" bestFit="1" customWidth="1"/>
    <col min="16" max="16" width="17.7109375" customWidth="1"/>
    <col min="17" max="17" width="17.28515625" bestFit="1" customWidth="1"/>
    <col min="18" max="18" width="13.7109375" bestFit="1" customWidth="1"/>
  </cols>
  <sheetData>
    <row r="1" spans="1:18" ht="15.75">
      <c r="A1" s="27"/>
      <c r="B1" s="27"/>
      <c r="C1" s="27"/>
      <c r="D1" s="22"/>
      <c r="E1" s="22"/>
      <c r="F1" s="22"/>
      <c r="G1" s="22"/>
      <c r="H1" s="22"/>
    </row>
    <row r="2" spans="1:18" ht="15.75">
      <c r="A2" s="54" t="s">
        <v>63</v>
      </c>
      <c r="B2" s="55"/>
      <c r="C2" s="55"/>
      <c r="D2" s="55"/>
      <c r="E2" s="55"/>
      <c r="F2" s="55"/>
      <c r="G2" s="55"/>
      <c r="H2" s="55"/>
    </row>
    <row r="3" spans="1:18" ht="15.75">
      <c r="A3" s="54" t="s">
        <v>69</v>
      </c>
      <c r="B3" s="55"/>
      <c r="C3" s="55"/>
      <c r="D3" s="55"/>
      <c r="E3" s="55"/>
      <c r="F3" s="55"/>
      <c r="G3" s="55"/>
      <c r="H3" s="55"/>
      <c r="I3" t="s">
        <v>65</v>
      </c>
      <c r="N3" t="s">
        <v>53</v>
      </c>
    </row>
    <row r="4" spans="1:18" ht="15.75">
      <c r="A4" s="54"/>
      <c r="B4" s="55"/>
      <c r="C4" s="55"/>
      <c r="D4" s="55"/>
      <c r="E4" s="55"/>
      <c r="F4" s="55"/>
      <c r="G4" s="55"/>
      <c r="H4" s="55"/>
    </row>
    <row r="5" spans="1:18" ht="15.75">
      <c r="A5" s="27"/>
      <c r="B5" s="22"/>
      <c r="C5" s="22"/>
      <c r="D5" s="28" t="s">
        <v>32</v>
      </c>
      <c r="E5" s="28" t="s">
        <v>32</v>
      </c>
      <c r="F5" s="28" t="s">
        <v>33</v>
      </c>
      <c r="G5" s="22"/>
      <c r="H5" s="22"/>
      <c r="J5" s="2" t="s">
        <v>32</v>
      </c>
      <c r="K5" s="2" t="s">
        <v>32</v>
      </c>
      <c r="L5" s="2" t="s">
        <v>33</v>
      </c>
      <c r="O5" s="2" t="s">
        <v>32</v>
      </c>
      <c r="P5" s="2" t="s">
        <v>32</v>
      </c>
      <c r="Q5" s="2" t="s">
        <v>33</v>
      </c>
    </row>
    <row r="6" spans="1:18" ht="15.75">
      <c r="A6" s="22"/>
      <c r="B6" s="22"/>
      <c r="C6" s="22"/>
      <c r="D6" s="28" t="s">
        <v>34</v>
      </c>
      <c r="E6" s="28" t="s">
        <v>34</v>
      </c>
      <c r="F6" s="28" t="s">
        <v>35</v>
      </c>
      <c r="G6" s="28"/>
      <c r="H6" s="28"/>
      <c r="I6" s="2"/>
      <c r="J6" s="2" t="s">
        <v>34</v>
      </c>
      <c r="K6" s="2" t="s">
        <v>34</v>
      </c>
      <c r="L6" s="2" t="s">
        <v>35</v>
      </c>
      <c r="M6" s="2"/>
      <c r="N6" s="2"/>
      <c r="O6" s="2" t="s">
        <v>34</v>
      </c>
      <c r="P6" s="2" t="s">
        <v>34</v>
      </c>
      <c r="Q6" s="2" t="s">
        <v>35</v>
      </c>
      <c r="R6" s="2"/>
    </row>
    <row r="7" spans="1:18" ht="15.75">
      <c r="A7" s="22"/>
      <c r="B7" s="22"/>
      <c r="C7" s="22"/>
      <c r="D7" s="28" t="s">
        <v>36</v>
      </c>
      <c r="E7" s="28" t="s">
        <v>37</v>
      </c>
      <c r="F7" s="28" t="s">
        <v>38</v>
      </c>
      <c r="G7" s="28"/>
      <c r="H7" s="28"/>
      <c r="I7" s="2"/>
      <c r="J7" s="2" t="s">
        <v>36</v>
      </c>
      <c r="K7" s="2" t="s">
        <v>37</v>
      </c>
      <c r="L7" s="2" t="s">
        <v>38</v>
      </c>
      <c r="M7" s="2"/>
      <c r="N7" s="2"/>
      <c r="O7" s="2" t="s">
        <v>36</v>
      </c>
      <c r="P7" s="2" t="s">
        <v>37</v>
      </c>
      <c r="Q7" s="2" t="s">
        <v>38</v>
      </c>
      <c r="R7" s="2"/>
    </row>
    <row r="8" spans="1:18" ht="15.75">
      <c r="A8" s="22"/>
      <c r="B8" s="27" t="s">
        <v>5</v>
      </c>
      <c r="C8" s="27"/>
      <c r="D8" s="28" t="s">
        <v>39</v>
      </c>
      <c r="E8" s="28" t="s">
        <v>6</v>
      </c>
      <c r="F8" s="28" t="s">
        <v>6</v>
      </c>
      <c r="G8" s="28" t="s">
        <v>2</v>
      </c>
      <c r="H8" s="22"/>
      <c r="J8" s="2" t="s">
        <v>39</v>
      </c>
      <c r="K8" s="2" t="s">
        <v>6</v>
      </c>
      <c r="L8" s="2" t="s">
        <v>6</v>
      </c>
      <c r="M8" s="2" t="s">
        <v>2</v>
      </c>
      <c r="N8" s="2"/>
      <c r="O8" s="2" t="s">
        <v>39</v>
      </c>
      <c r="P8" s="2" t="s">
        <v>6</v>
      </c>
      <c r="Q8" s="2" t="s">
        <v>6</v>
      </c>
      <c r="R8" s="2" t="s">
        <v>2</v>
      </c>
    </row>
    <row r="9" spans="1:18" ht="15.75">
      <c r="A9" s="22"/>
      <c r="B9" s="22"/>
      <c r="C9" s="22"/>
      <c r="D9" s="22"/>
      <c r="E9" s="22"/>
      <c r="F9" s="22"/>
      <c r="G9" s="22"/>
      <c r="H9" s="22"/>
    </row>
    <row r="10" spans="1:18" ht="15.75">
      <c r="A10" s="22" t="s">
        <v>7</v>
      </c>
      <c r="B10" s="22" t="s">
        <v>68</v>
      </c>
      <c r="C10" s="22"/>
      <c r="D10" s="29">
        <f>J10+O10</f>
        <v>918722.23843805678</v>
      </c>
      <c r="E10" s="29">
        <f t="shared" ref="E10:F10" si="0">K10+P10</f>
        <v>1932176.8103631919</v>
      </c>
      <c r="F10" s="29">
        <f t="shared" si="0"/>
        <v>0</v>
      </c>
      <c r="G10" s="29">
        <f t="shared" ref="G10:G18" si="1">SUM(D10:F10)</f>
        <v>2850899.0488012489</v>
      </c>
      <c r="H10" s="22"/>
      <c r="J10" s="3">
        <v>88662.23843805684</v>
      </c>
      <c r="K10" s="3">
        <v>186466.81036319197</v>
      </c>
      <c r="L10" s="3">
        <v>0</v>
      </c>
      <c r="M10" s="3">
        <f t="shared" ref="M10:M18" si="2">SUM(J10:L10)</f>
        <v>275129.04880124878</v>
      </c>
      <c r="N10" s="3"/>
      <c r="O10" s="3">
        <v>830060</v>
      </c>
      <c r="P10" s="3">
        <v>1745710</v>
      </c>
      <c r="Q10" s="3">
        <v>0</v>
      </c>
      <c r="R10" s="3">
        <f t="shared" ref="R10:R18" si="3">SUM(O10:Q10)</f>
        <v>2575770</v>
      </c>
    </row>
    <row r="11" spans="1:18" ht="15.75">
      <c r="A11" s="22" t="s">
        <v>8</v>
      </c>
      <c r="B11" s="22" t="s">
        <v>68</v>
      </c>
      <c r="C11" s="22"/>
      <c r="D11" s="29">
        <f t="shared" ref="D11:D18" si="4">J11+O11</f>
        <v>417679.67210815154</v>
      </c>
      <c r="E11" s="29">
        <f t="shared" ref="E11:E18" si="5">K11+P11</f>
        <v>643142.10249626823</v>
      </c>
      <c r="F11" s="29">
        <f t="shared" ref="F11:F18" si="6">L11+Q11</f>
        <v>0</v>
      </c>
      <c r="G11" s="29">
        <f t="shared" si="1"/>
        <v>1060821.7746044197</v>
      </c>
      <c r="H11" s="22"/>
      <c r="J11" s="4">
        <v>40308.67210815155</v>
      </c>
      <c r="K11" s="4">
        <v>62067.102496268279</v>
      </c>
      <c r="L11" s="4">
        <v>0</v>
      </c>
      <c r="M11" s="3">
        <f t="shared" si="2"/>
        <v>102375.77460441983</v>
      </c>
      <c r="N11" s="4"/>
      <c r="O11" s="4">
        <v>377371</v>
      </c>
      <c r="P11" s="4">
        <v>581075</v>
      </c>
      <c r="Q11" s="4">
        <v>0</v>
      </c>
      <c r="R11" s="3">
        <f t="shared" si="3"/>
        <v>958446</v>
      </c>
    </row>
    <row r="12" spans="1:18" ht="15.75">
      <c r="A12" s="22" t="s">
        <v>9</v>
      </c>
      <c r="B12" s="22" t="s">
        <v>68</v>
      </c>
      <c r="C12" s="22"/>
      <c r="D12" s="29">
        <f t="shared" si="4"/>
        <v>498.07091009942059</v>
      </c>
      <c r="E12" s="29">
        <f t="shared" si="5"/>
        <v>767.01935980982773</v>
      </c>
      <c r="F12" s="29">
        <f t="shared" si="6"/>
        <v>0</v>
      </c>
      <c r="G12" s="29">
        <f t="shared" si="1"/>
        <v>1265.0902699092483</v>
      </c>
      <c r="H12" s="22"/>
      <c r="J12" s="4">
        <v>48.07091009942058</v>
      </c>
      <c r="K12" s="4">
        <v>74.019359809827691</v>
      </c>
      <c r="L12" s="4">
        <v>0</v>
      </c>
      <c r="M12" s="3">
        <f t="shared" si="2"/>
        <v>122.09026990924826</v>
      </c>
      <c r="N12" s="4"/>
      <c r="O12" s="4">
        <v>450</v>
      </c>
      <c r="P12" s="4">
        <v>693</v>
      </c>
      <c r="Q12" s="4">
        <v>0</v>
      </c>
      <c r="R12" s="3">
        <f t="shared" si="3"/>
        <v>1143</v>
      </c>
    </row>
    <row r="13" spans="1:18" ht="15.75">
      <c r="A13" s="22" t="s">
        <v>10</v>
      </c>
      <c r="B13" s="22" t="s">
        <v>68</v>
      </c>
      <c r="C13" s="22"/>
      <c r="D13" s="29">
        <f t="shared" si="4"/>
        <v>94070.311067415882</v>
      </c>
      <c r="E13" s="29">
        <f t="shared" si="5"/>
        <v>144848.74040609636</v>
      </c>
      <c r="F13" s="29">
        <f t="shared" si="6"/>
        <v>0</v>
      </c>
      <c r="G13" s="29">
        <f t="shared" si="1"/>
        <v>238919.05147351226</v>
      </c>
      <c r="H13" s="22"/>
      <c r="J13" s="4">
        <v>9078.3110674158761</v>
      </c>
      <c r="K13" s="4">
        <v>13978.740406096369</v>
      </c>
      <c r="L13" s="4">
        <v>0</v>
      </c>
      <c r="M13" s="3">
        <f t="shared" si="2"/>
        <v>23057.051473512245</v>
      </c>
      <c r="N13" s="4"/>
      <c r="O13" s="4">
        <v>84992</v>
      </c>
      <c r="P13" s="4">
        <v>130870</v>
      </c>
      <c r="Q13" s="4">
        <v>0</v>
      </c>
      <c r="R13" s="3">
        <f t="shared" si="3"/>
        <v>215862</v>
      </c>
    </row>
    <row r="14" spans="1:18" ht="15.75">
      <c r="A14" s="22" t="s">
        <v>55</v>
      </c>
      <c r="B14" s="22" t="s">
        <v>68</v>
      </c>
      <c r="C14" s="22"/>
      <c r="D14" s="29">
        <f t="shared" si="4"/>
        <v>-3.2874043276372533</v>
      </c>
      <c r="E14" s="29">
        <f t="shared" si="5"/>
        <v>-4.4425438231621888</v>
      </c>
      <c r="F14" s="29">
        <f t="shared" si="6"/>
        <v>0</v>
      </c>
      <c r="G14" s="29">
        <f t="shared" si="1"/>
        <v>-7.7299481507994425</v>
      </c>
      <c r="H14" s="22"/>
      <c r="J14" s="4">
        <v>-0.28740432763725343</v>
      </c>
      <c r="K14" s="4">
        <v>-0.44254382316218893</v>
      </c>
      <c r="L14" s="4">
        <v>0</v>
      </c>
      <c r="M14" s="3">
        <f t="shared" si="2"/>
        <v>-0.72994815079944231</v>
      </c>
      <c r="N14" s="4"/>
      <c r="O14" s="4">
        <f>-3</f>
        <v>-3</v>
      </c>
      <c r="P14" s="4">
        <f>-4</f>
        <v>-4</v>
      </c>
      <c r="Q14" s="4">
        <v>0</v>
      </c>
      <c r="R14" s="3">
        <f t="shared" si="3"/>
        <v>-7</v>
      </c>
    </row>
    <row r="15" spans="1:18" ht="15.75">
      <c r="A15" s="22" t="s">
        <v>57</v>
      </c>
      <c r="B15" s="22" t="s">
        <v>68</v>
      </c>
      <c r="C15" s="22"/>
      <c r="D15" s="29">
        <f t="shared" si="4"/>
        <v>-623.18692697845893</v>
      </c>
      <c r="E15" s="29">
        <f t="shared" si="5"/>
        <v>-960.67554524456727</v>
      </c>
      <c r="F15" s="29">
        <f t="shared" si="6"/>
        <v>0</v>
      </c>
      <c r="G15" s="29">
        <f t="shared" si="1"/>
        <v>-1583.8624722230261</v>
      </c>
      <c r="H15" s="22"/>
      <c r="J15" s="4">
        <v>-60.186926978458914</v>
      </c>
      <c r="K15" s="4">
        <v>-92.675545244567232</v>
      </c>
      <c r="L15" s="4"/>
      <c r="M15" s="3">
        <f t="shared" si="2"/>
        <v>-152.86247222302615</v>
      </c>
      <c r="N15" s="4"/>
      <c r="O15" s="4">
        <f>-563</f>
        <v>-563</v>
      </c>
      <c r="P15" s="4">
        <f>-868</f>
        <v>-868</v>
      </c>
      <c r="Q15" s="4"/>
      <c r="R15" s="3">
        <f t="shared" si="3"/>
        <v>-1431</v>
      </c>
    </row>
    <row r="16" spans="1:18" ht="15.75">
      <c r="A16" s="22" t="s">
        <v>62</v>
      </c>
      <c r="B16" s="22" t="s">
        <v>68</v>
      </c>
      <c r="C16" s="22"/>
      <c r="D16" s="29">
        <f t="shared" si="4"/>
        <v>29295.288064578672</v>
      </c>
      <c r="E16" s="29">
        <f t="shared" si="5"/>
        <v>45189.051935421325</v>
      </c>
      <c r="F16" s="29">
        <f t="shared" si="6"/>
        <v>0</v>
      </c>
      <c r="G16" s="29">
        <f t="shared" si="1"/>
        <v>74484.34</v>
      </c>
      <c r="H16" s="22"/>
      <c r="J16" s="4">
        <f>7223*(J22/$M$22)</f>
        <v>2840.8637553476447</v>
      </c>
      <c r="K16" s="4">
        <f t="shared" ref="K16:L16" si="7">7223*(K22/$M$22)</f>
        <v>4382.1362446523563</v>
      </c>
      <c r="L16" s="4">
        <f t="shared" si="7"/>
        <v>0</v>
      </c>
      <c r="M16" s="3">
        <f t="shared" si="2"/>
        <v>7223.0000000000009</v>
      </c>
      <c r="N16" s="4"/>
      <c r="O16" s="4">
        <f>67261.34*(O22/$R$22)</f>
        <v>26454.424309231028</v>
      </c>
      <c r="P16" s="4">
        <f>67261.34*(P22/$R$22)</f>
        <v>40806.915690768968</v>
      </c>
      <c r="Q16" s="4">
        <f>7223*(Q22/$R$22)</f>
        <v>0</v>
      </c>
      <c r="R16" s="3">
        <f t="shared" si="3"/>
        <v>67261.34</v>
      </c>
    </row>
    <row r="17" spans="1:18" ht="15.75">
      <c r="A17" s="22" t="s">
        <v>56</v>
      </c>
      <c r="B17" s="22" t="s">
        <v>68</v>
      </c>
      <c r="C17" s="22"/>
      <c r="D17" s="29">
        <f t="shared" si="4"/>
        <v>-11421.235988067861</v>
      </c>
      <c r="E17" s="29">
        <f t="shared" si="5"/>
        <v>-17586.217756589122</v>
      </c>
      <c r="F17" s="29">
        <f t="shared" si="6"/>
        <v>0</v>
      </c>
      <c r="G17" s="29">
        <f t="shared" si="1"/>
        <v>-29007.453744656981</v>
      </c>
      <c r="H17" s="22"/>
      <c r="J17" s="4">
        <v>-1102.2359880678607</v>
      </c>
      <c r="K17" s="4">
        <v>-1697.2177565891211</v>
      </c>
      <c r="L17" s="4">
        <v>0</v>
      </c>
      <c r="M17" s="3">
        <f t="shared" si="2"/>
        <v>-2799.4537446569821</v>
      </c>
      <c r="N17" s="4"/>
      <c r="O17" s="4">
        <f>-10319</f>
        <v>-10319</v>
      </c>
      <c r="P17" s="4">
        <v>-15889</v>
      </c>
      <c r="Q17" s="4">
        <v>0</v>
      </c>
      <c r="R17" s="3">
        <f t="shared" si="3"/>
        <v>-26208</v>
      </c>
    </row>
    <row r="18" spans="1:18" ht="15.75">
      <c r="A18" s="22" t="s">
        <v>60</v>
      </c>
      <c r="B18" s="22" t="s">
        <v>68</v>
      </c>
      <c r="C18" s="30"/>
      <c r="D18" s="29">
        <f t="shared" si="4"/>
        <v>-119166.44857304182</v>
      </c>
      <c r="E18" s="29">
        <f t="shared" si="5"/>
        <v>-250620.55142695818</v>
      </c>
      <c r="F18" s="29">
        <f t="shared" si="6"/>
        <v>0</v>
      </c>
      <c r="G18" s="29">
        <f t="shared" si="1"/>
        <v>-369787</v>
      </c>
      <c r="H18" s="22"/>
      <c r="J18" s="4">
        <f>(J10/$M$10)*(-110836)</f>
        <v>-35717.667408574503</v>
      </c>
      <c r="K18" s="4">
        <f t="shared" ref="K18:L18" si="8">(K10/$M$10)*(-110836)</f>
        <v>-75118.332591425497</v>
      </c>
      <c r="L18" s="4">
        <f t="shared" si="8"/>
        <v>0</v>
      </c>
      <c r="M18" s="3">
        <f t="shared" si="2"/>
        <v>-110836</v>
      </c>
      <c r="N18" s="4"/>
      <c r="O18" s="4">
        <f>(O10/$R$10)*(-258951)</f>
        <v>-83448.78116446732</v>
      </c>
      <c r="P18" s="4">
        <f>(P10/$R$10)*(-258951)</f>
        <v>-175502.21883553267</v>
      </c>
      <c r="Q18" s="4"/>
      <c r="R18" s="3">
        <f t="shared" si="3"/>
        <v>-258951</v>
      </c>
    </row>
    <row r="19" spans="1:18" ht="15.75">
      <c r="A19" s="22"/>
      <c r="B19" s="22"/>
      <c r="C19" s="22"/>
      <c r="D19" s="30"/>
      <c r="E19" s="30"/>
      <c r="F19" s="30"/>
      <c r="G19" s="30"/>
      <c r="H19" s="22"/>
      <c r="J19" s="4"/>
      <c r="K19" s="4"/>
      <c r="L19" s="4"/>
      <c r="M19" s="4"/>
      <c r="N19" s="4"/>
      <c r="O19" s="4"/>
      <c r="P19" s="4"/>
      <c r="Q19" s="4"/>
      <c r="R19" s="4"/>
    </row>
    <row r="20" spans="1:18" ht="15.75">
      <c r="A20" s="22" t="s">
        <v>11</v>
      </c>
      <c r="B20" s="22"/>
      <c r="C20" s="22"/>
      <c r="D20" s="31">
        <f>SUM(D10:D19)</f>
        <v>1329051.4216958866</v>
      </c>
      <c r="E20" s="31">
        <f>SUM(E10:E19)</f>
        <v>2496951.8372881729</v>
      </c>
      <c r="F20" s="31">
        <f>SUM(F10:F19)</f>
        <v>0</v>
      </c>
      <c r="G20" s="31">
        <f>SUM(D20:F20)</f>
        <v>3826003.2589840596</v>
      </c>
      <c r="H20" s="32"/>
      <c r="I20" s="6"/>
      <c r="J20" s="5">
        <f>SUM(J10:J19)</f>
        <v>104057.77855112286</v>
      </c>
      <c r="K20" s="5">
        <f>SUM(K10:K19)</f>
        <v>190060.14043293643</v>
      </c>
      <c r="L20" s="5">
        <f>SUM(L10:L19)</f>
        <v>0</v>
      </c>
      <c r="M20" s="5">
        <f>SUM(J20:L20)</f>
        <v>294117.9189840593</v>
      </c>
      <c r="N20" s="7"/>
      <c r="O20" s="5">
        <f>SUM(O10:O19)</f>
        <v>1224993.6431447638</v>
      </c>
      <c r="P20" s="5">
        <f>SUM(P10:P19)</f>
        <v>2306891.6968552363</v>
      </c>
      <c r="Q20" s="5">
        <f>SUM(Q10:Q19)</f>
        <v>0</v>
      </c>
      <c r="R20" s="5">
        <f>SUM(O20:Q20)</f>
        <v>3531885.34</v>
      </c>
    </row>
    <row r="21" spans="1:18" ht="15.75">
      <c r="A21" s="22"/>
      <c r="B21" s="22"/>
      <c r="C21" s="22"/>
      <c r="D21" s="30"/>
      <c r="E21" s="30"/>
      <c r="F21" s="30"/>
      <c r="G21" s="30"/>
      <c r="H21" s="32"/>
      <c r="I21" s="6"/>
      <c r="J21" s="4"/>
      <c r="K21" s="4"/>
      <c r="L21" s="4"/>
      <c r="M21" s="4"/>
      <c r="N21" s="8"/>
      <c r="O21" s="4"/>
      <c r="P21" s="4"/>
      <c r="Q21" s="4"/>
      <c r="R21" s="4"/>
    </row>
    <row r="22" spans="1:18" ht="15.75">
      <c r="A22" s="22" t="s">
        <v>61</v>
      </c>
      <c r="B22" s="22" t="s">
        <v>68</v>
      </c>
      <c r="C22" s="33"/>
      <c r="D22" s="30">
        <f>J22+O22</f>
        <v>8804473.0423283428</v>
      </c>
      <c r="E22" s="30">
        <f t="shared" ref="E22:F22" si="9">K22+P22</f>
        <v>13581221.276619107</v>
      </c>
      <c r="F22" s="30">
        <f t="shared" si="9"/>
        <v>0</v>
      </c>
      <c r="G22" s="30">
        <f>SUM(D22:F22)</f>
        <v>22385694.318947449</v>
      </c>
      <c r="H22" s="32"/>
      <c r="I22" s="6"/>
      <c r="J22" s="4">
        <f>863599.204099998+(863599.204/2195733)*(-35862.98)</f>
        <v>849494.00962459145</v>
      </c>
      <c r="K22" s="4">
        <f>1332133.35767725+(1332133.357/2195733)*(-35862.98)</f>
        <v>1310375.579322858</v>
      </c>
      <c r="L22" s="4">
        <v>0</v>
      </c>
      <c r="M22" s="4">
        <f>SUM(J22:L22)</f>
        <v>2159869.5889474493</v>
      </c>
      <c r="N22" s="8"/>
      <c r="O22" s="4">
        <f>8085052+(8085052/20556540)*(-330715.27)</f>
        <v>7954979.0327037508</v>
      </c>
      <c r="P22" s="4">
        <f>12471488+(12471488/20556540)*(-330715.27)</f>
        <v>12270845.697296249</v>
      </c>
      <c r="Q22" s="4">
        <v>0</v>
      </c>
      <c r="R22" s="4">
        <f>SUM(O22:Q22)</f>
        <v>20225824.73</v>
      </c>
    </row>
    <row r="23" spans="1:18" ht="15.75">
      <c r="A23" s="22"/>
      <c r="B23" s="22"/>
      <c r="C23" s="22"/>
      <c r="D23" s="30"/>
      <c r="E23" s="30"/>
      <c r="F23" s="30"/>
      <c r="G23" s="30"/>
      <c r="H23" s="32"/>
      <c r="I23" s="6"/>
      <c r="J23" s="4"/>
      <c r="K23" s="4"/>
      <c r="L23" s="4"/>
      <c r="M23" s="4"/>
      <c r="N23" s="8"/>
      <c r="O23" s="4"/>
      <c r="P23" s="4"/>
      <c r="Q23" s="4"/>
      <c r="R23" s="4"/>
    </row>
    <row r="24" spans="1:18" ht="15.75">
      <c r="A24" s="22" t="s">
        <v>12</v>
      </c>
      <c r="B24" s="22" t="s">
        <v>13</v>
      </c>
      <c r="C24" s="22"/>
      <c r="D24" s="30">
        <f>D22*F48</f>
        <v>686503.07641426893</v>
      </c>
      <c r="E24" s="30">
        <f>E22*F48</f>
        <v>1058956.0718782472</v>
      </c>
      <c r="F24" s="30">
        <v>0</v>
      </c>
      <c r="G24" s="30">
        <f>SUM(D24:F24)</f>
        <v>1745459.1482925161</v>
      </c>
      <c r="H24" s="32"/>
      <c r="I24" s="6"/>
      <c r="J24" s="4">
        <f>J22*F48</f>
        <v>66236.814877969417</v>
      </c>
      <c r="K24" s="4">
        <f>K22*F48</f>
        <v>102172.70950100823</v>
      </c>
      <c r="L24" s="4">
        <v>0</v>
      </c>
      <c r="M24" s="4">
        <f>SUM(J24:L24)</f>
        <v>168409.52437897766</v>
      </c>
      <c r="N24" s="8"/>
      <c r="O24" s="4">
        <f>O22*F48</f>
        <v>620266.26153629948</v>
      </c>
      <c r="P24" s="4">
        <f>P22*F48</f>
        <v>956783.36237723893</v>
      </c>
      <c r="Q24" s="4">
        <v>0</v>
      </c>
      <c r="R24" s="4">
        <f>SUM(O24:Q24)</f>
        <v>1577049.6239135384</v>
      </c>
    </row>
    <row r="25" spans="1:18" ht="15.75">
      <c r="A25" s="22"/>
      <c r="B25" s="22"/>
      <c r="C25" s="22"/>
      <c r="D25" s="30"/>
      <c r="E25" s="30"/>
      <c r="F25" s="30"/>
      <c r="G25" s="30"/>
      <c r="H25" s="32"/>
      <c r="I25" s="6"/>
      <c r="J25" s="4"/>
      <c r="K25" s="4"/>
      <c r="L25" s="4"/>
      <c r="M25" s="4"/>
      <c r="N25" s="8"/>
      <c r="O25" s="4"/>
      <c r="P25" s="4"/>
      <c r="Q25" s="4"/>
      <c r="R25" s="4"/>
    </row>
    <row r="26" spans="1:18" ht="15.75">
      <c r="A26" s="22" t="s">
        <v>14</v>
      </c>
      <c r="B26" s="22" t="s">
        <v>15</v>
      </c>
      <c r="C26" s="22"/>
      <c r="D26" s="30">
        <f>$G$46*D22</f>
        <v>321496.60741029918</v>
      </c>
      <c r="E26" s="30">
        <f>$G$46*E22</f>
        <v>495920.26052327408</v>
      </c>
      <c r="F26" s="30">
        <v>0</v>
      </c>
      <c r="G26" s="30">
        <f>SUM(D26:F26)</f>
        <v>817416.8679335732</v>
      </c>
      <c r="H26" s="32"/>
      <c r="I26" s="6"/>
      <c r="J26" s="4">
        <f>$G$46*J22</f>
        <v>31019.396708545592</v>
      </c>
      <c r="K26" s="4">
        <f>$G$46*K22</f>
        <v>47848.553929378199</v>
      </c>
      <c r="L26" s="4">
        <v>0</v>
      </c>
      <c r="M26" s="4">
        <f>SUM(J26:L26)</f>
        <v>78867.950637923786</v>
      </c>
      <c r="N26" s="8"/>
      <c r="O26" s="4">
        <f>$G$46*O22</f>
        <v>290477.21070175356</v>
      </c>
      <c r="P26" s="4">
        <f>$G$46*P22</f>
        <v>448071.70659389585</v>
      </c>
      <c r="Q26" s="4">
        <v>0</v>
      </c>
      <c r="R26" s="4">
        <f>SUM(O26:Q26)</f>
        <v>738548.91729564941</v>
      </c>
    </row>
    <row r="27" spans="1:18" ht="15.75">
      <c r="A27" s="22"/>
      <c r="B27" s="22"/>
      <c r="C27" s="22"/>
      <c r="D27" s="30"/>
      <c r="E27" s="30"/>
      <c r="F27" s="30"/>
      <c r="G27" s="30"/>
      <c r="H27" s="32"/>
      <c r="I27" s="6"/>
      <c r="J27" s="4"/>
      <c r="K27" s="4"/>
      <c r="L27" s="4"/>
      <c r="M27" s="4"/>
      <c r="N27" s="8"/>
      <c r="O27" s="4"/>
      <c r="P27" s="4"/>
      <c r="Q27" s="4"/>
      <c r="R27" s="4"/>
    </row>
    <row r="28" spans="1:18" ht="15.75">
      <c r="A28" s="32" t="s">
        <v>16</v>
      </c>
      <c r="B28" s="22" t="s">
        <v>17</v>
      </c>
      <c r="C28" s="22"/>
      <c r="D28" s="31">
        <f>D20+D24+D26</f>
        <v>2337051.1055204547</v>
      </c>
      <c r="E28" s="31">
        <f>E20+E24+E26</f>
        <v>4051828.169689694</v>
      </c>
      <c r="F28" s="31">
        <f>F20+F24+F26</f>
        <v>0</v>
      </c>
      <c r="G28" s="31">
        <f>SUM(D28:F28)</f>
        <v>6388879.2752101487</v>
      </c>
      <c r="H28" s="32"/>
      <c r="I28" s="6"/>
      <c r="J28" s="5">
        <f>J20+J24+J26</f>
        <v>201313.99013763785</v>
      </c>
      <c r="K28" s="5">
        <f>K20+K24+K26</f>
        <v>340081.40386332286</v>
      </c>
      <c r="L28" s="5">
        <f>L20+L24+L26</f>
        <v>0</v>
      </c>
      <c r="M28" s="5">
        <f>SUM(J28:L28)</f>
        <v>541395.39400096075</v>
      </c>
      <c r="N28" s="7"/>
      <c r="O28" s="5">
        <f>O20+O24+O26</f>
        <v>2135737.1153828166</v>
      </c>
      <c r="P28" s="5">
        <f>P20+P24+P26</f>
        <v>3711746.765826371</v>
      </c>
      <c r="Q28" s="5">
        <f>Q20+Q24+Q26</f>
        <v>0</v>
      </c>
      <c r="R28" s="5">
        <f>SUM(O28:Q28)</f>
        <v>5847483.8812091872</v>
      </c>
    </row>
    <row r="29" spans="1:18" ht="15.75">
      <c r="A29" s="32"/>
      <c r="B29" s="22"/>
      <c r="C29" s="22"/>
      <c r="D29" s="22"/>
      <c r="E29" s="22"/>
      <c r="F29" s="22"/>
      <c r="G29" s="22"/>
      <c r="H29" s="32"/>
      <c r="I29" s="6"/>
      <c r="N29" s="6"/>
    </row>
    <row r="30" spans="1:18" ht="15.75">
      <c r="A30" s="32" t="s">
        <v>40</v>
      </c>
      <c r="B30" s="22" t="s">
        <v>52</v>
      </c>
      <c r="C30" s="22"/>
      <c r="D30" s="30">
        <f>J30+O30</f>
        <v>5234409.666666667</v>
      </c>
      <c r="E30" s="30">
        <f>D30</f>
        <v>5234409.666666667</v>
      </c>
      <c r="F30" s="30">
        <f>D30</f>
        <v>5234409.666666667</v>
      </c>
      <c r="G30" s="30">
        <f>D30</f>
        <v>5234409.666666667</v>
      </c>
      <c r="H30" s="32"/>
      <c r="I30" s="6"/>
      <c r="J30" s="4">
        <f>653118/0.9</f>
        <v>725686.66666666663</v>
      </c>
      <c r="K30" s="4">
        <f>J30</f>
        <v>725686.66666666663</v>
      </c>
      <c r="L30" s="4">
        <f>J30</f>
        <v>725686.66666666663</v>
      </c>
      <c r="M30" s="4">
        <f>J30</f>
        <v>725686.66666666663</v>
      </c>
      <c r="N30" s="9"/>
      <c r="O30" s="4">
        <f>936975+3571748</f>
        <v>4508723</v>
      </c>
      <c r="P30" s="4">
        <f>O30</f>
        <v>4508723</v>
      </c>
      <c r="Q30" s="4">
        <f>O30</f>
        <v>4508723</v>
      </c>
      <c r="R30" s="4">
        <f>O30</f>
        <v>4508723</v>
      </c>
    </row>
    <row r="31" spans="1:18" ht="15.75">
      <c r="A31" s="32"/>
      <c r="B31" s="22"/>
      <c r="C31" s="22"/>
      <c r="D31" s="22"/>
      <c r="E31" s="22"/>
      <c r="F31" s="22"/>
      <c r="G31" s="22"/>
      <c r="H31" s="32"/>
      <c r="I31" s="6"/>
      <c r="N31" s="6"/>
    </row>
    <row r="32" spans="1:18" ht="16.5" thickBot="1">
      <c r="A32" s="32" t="s">
        <v>70</v>
      </c>
      <c r="B32" s="22" t="s">
        <v>19</v>
      </c>
      <c r="C32" s="22"/>
      <c r="D32" s="35">
        <f>D28/D30</f>
        <v>0.44647844825808525</v>
      </c>
      <c r="E32" s="35">
        <f>E28/E30</f>
        <v>0.7740754789393367</v>
      </c>
      <c r="F32" s="35">
        <f>F28/F30</f>
        <v>0</v>
      </c>
      <c r="G32" s="35">
        <f>G28/G30</f>
        <v>1.220553927197422</v>
      </c>
      <c r="H32" s="40"/>
      <c r="I32" s="6"/>
      <c r="J32" s="20">
        <f>J28/J30</f>
        <v>0.27741172517657464</v>
      </c>
      <c r="K32" s="20">
        <f>K28/K30</f>
        <v>0.46863394283573656</v>
      </c>
      <c r="L32" s="20">
        <f>L28/L30</f>
        <v>0</v>
      </c>
      <c r="M32" s="20">
        <f>M28/M30</f>
        <v>0.7460456680123112</v>
      </c>
      <c r="N32" s="10"/>
      <c r="O32" s="20">
        <f>O28/O30</f>
        <v>0.47369002606343674</v>
      </c>
      <c r="P32" s="20">
        <f>P28/P30</f>
        <v>0.82323681579604047</v>
      </c>
      <c r="Q32" s="20">
        <f>Q28/Q30</f>
        <v>0</v>
      </c>
      <c r="R32" s="20">
        <f>R28/R30</f>
        <v>1.296926841859477</v>
      </c>
    </row>
    <row r="33" spans="1:17" ht="16.5" thickTop="1">
      <c r="A33" s="32"/>
      <c r="B33" s="22"/>
      <c r="C33" s="22"/>
      <c r="D33" s="22"/>
      <c r="E33" s="22"/>
      <c r="F33" s="22"/>
      <c r="G33" s="22"/>
      <c r="H33" s="22"/>
    </row>
    <row r="34" spans="1:17" ht="15.75">
      <c r="A34" s="32"/>
      <c r="B34" s="32"/>
      <c r="C34" s="32"/>
      <c r="D34" s="37"/>
      <c r="E34" s="37"/>
      <c r="F34" s="37"/>
      <c r="G34" s="37"/>
      <c r="H34" s="37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5.75">
      <c r="A35" s="22"/>
      <c r="B35" s="22"/>
      <c r="C35" s="22"/>
      <c r="D35" s="22"/>
      <c r="E35" s="22"/>
      <c r="F35" s="22"/>
      <c r="G35" s="22"/>
      <c r="H35" s="22"/>
    </row>
    <row r="36" spans="1:17" ht="15.75">
      <c r="A36" s="22"/>
      <c r="B36" s="22"/>
      <c r="C36" s="22"/>
      <c r="D36" s="22"/>
      <c r="E36" s="22"/>
      <c r="F36" s="38"/>
      <c r="G36" s="38"/>
      <c r="H36" s="38" t="s">
        <v>20</v>
      </c>
      <c r="I36" s="12"/>
      <c r="J36" s="12"/>
      <c r="K36" s="12"/>
      <c r="L36" s="12"/>
      <c r="M36" s="12"/>
    </row>
    <row r="37" spans="1:17" ht="15.75">
      <c r="A37" s="22"/>
      <c r="B37" s="22"/>
      <c r="C37" s="22"/>
      <c r="D37" s="22"/>
      <c r="E37" s="22"/>
      <c r="F37" s="38"/>
      <c r="G37" s="38"/>
      <c r="H37" s="38" t="s">
        <v>21</v>
      </c>
      <c r="I37" s="12"/>
      <c r="J37" s="12"/>
      <c r="K37" s="12"/>
      <c r="L37" s="12"/>
      <c r="M37" s="12"/>
    </row>
    <row r="38" spans="1:17" ht="15.75">
      <c r="A38" s="22"/>
      <c r="B38" s="22"/>
      <c r="C38" s="22"/>
      <c r="D38" s="22"/>
      <c r="E38" s="22"/>
      <c r="F38" s="38" t="s">
        <v>20</v>
      </c>
      <c r="G38" s="38"/>
      <c r="H38" s="38" t="s">
        <v>22</v>
      </c>
      <c r="I38" s="12"/>
      <c r="J38" s="12"/>
      <c r="K38" s="12"/>
      <c r="L38" s="12"/>
      <c r="M38" s="12"/>
    </row>
    <row r="39" spans="1:17" ht="15.75">
      <c r="A39" s="22"/>
      <c r="B39" s="22"/>
      <c r="C39" s="22"/>
      <c r="D39" s="22"/>
      <c r="E39" s="22"/>
      <c r="F39" s="38" t="s">
        <v>21</v>
      </c>
      <c r="G39" s="38" t="s">
        <v>23</v>
      </c>
      <c r="H39" s="38" t="s">
        <v>24</v>
      </c>
      <c r="I39" s="12"/>
      <c r="J39" s="12"/>
      <c r="K39" s="12"/>
      <c r="L39" s="12"/>
      <c r="M39" s="12"/>
    </row>
    <row r="40" spans="1:17" ht="15.75">
      <c r="A40" s="22"/>
      <c r="B40" s="22"/>
      <c r="C40" s="22"/>
      <c r="D40" s="22"/>
      <c r="E40" s="22"/>
      <c r="F40" s="38" t="s">
        <v>22</v>
      </c>
      <c r="G40" s="38" t="s">
        <v>25</v>
      </c>
      <c r="H40" s="38" t="s">
        <v>26</v>
      </c>
      <c r="I40" s="12"/>
      <c r="J40" s="12"/>
      <c r="K40" s="12"/>
      <c r="L40" s="12"/>
      <c r="M40" s="12"/>
    </row>
    <row r="41" spans="1:17" ht="15.75">
      <c r="A41" s="22"/>
      <c r="B41" s="22"/>
      <c r="C41" s="22"/>
      <c r="D41" s="59"/>
      <c r="E41" s="59"/>
      <c r="F41" s="59"/>
      <c r="G41" s="59"/>
      <c r="H41" s="59"/>
      <c r="I41" s="67"/>
    </row>
    <row r="42" spans="1:17" ht="15.75">
      <c r="A42" s="13" t="s">
        <v>27</v>
      </c>
      <c r="B42" s="13"/>
      <c r="C42" s="13"/>
      <c r="D42" s="56">
        <v>0</v>
      </c>
      <c r="E42" s="57">
        <v>4.1000000000000003E-3</v>
      </c>
      <c r="F42" s="58">
        <f>D42*E42</f>
        <v>0</v>
      </c>
      <c r="G42" s="59"/>
      <c r="H42" s="59">
        <f>F42+G42</f>
        <v>0</v>
      </c>
      <c r="I42" s="67"/>
      <c r="J42" s="16"/>
      <c r="K42" s="16"/>
      <c r="L42" s="16"/>
      <c r="M42" s="16"/>
    </row>
    <row r="43" spans="1:17" ht="15.75">
      <c r="A43" s="17"/>
      <c r="B43" s="17"/>
      <c r="C43" s="17"/>
      <c r="D43" s="60"/>
      <c r="E43" s="61"/>
      <c r="F43" s="61"/>
      <c r="G43" s="59"/>
      <c r="H43" s="59"/>
      <c r="I43" s="67"/>
    </row>
    <row r="44" spans="1:17" ht="15.75">
      <c r="A44" s="13" t="s">
        <v>28</v>
      </c>
      <c r="B44" s="13"/>
      <c r="C44" s="13"/>
      <c r="D44" s="56">
        <v>0.44359999999999999</v>
      </c>
      <c r="E44" s="57">
        <v>3.78E-2</v>
      </c>
      <c r="F44" s="58">
        <f>E44*D44</f>
        <v>1.6768080000000001E-2</v>
      </c>
      <c r="G44" s="59"/>
      <c r="H44" s="59">
        <f>F44+G44</f>
        <v>1.6768080000000001E-2</v>
      </c>
      <c r="I44" s="67"/>
      <c r="J44" s="16"/>
      <c r="K44" s="16"/>
      <c r="L44" s="16"/>
      <c r="M44" s="16"/>
    </row>
    <row r="45" spans="1:17" ht="15.75">
      <c r="A45" s="17"/>
      <c r="B45" s="17"/>
      <c r="C45" s="17"/>
      <c r="D45" s="60"/>
      <c r="E45" s="61"/>
      <c r="F45" s="61"/>
      <c r="G45" s="59"/>
      <c r="H45" s="59"/>
      <c r="I45" s="67"/>
    </row>
    <row r="46" spans="1:17" ht="15.75">
      <c r="A46" s="13" t="s">
        <v>29</v>
      </c>
      <c r="B46" s="13"/>
      <c r="C46" s="13"/>
      <c r="D46" s="62">
        <v>0.55640000000000001</v>
      </c>
      <c r="E46" s="58">
        <v>0.11</v>
      </c>
      <c r="F46" s="63">
        <f>D46*E46</f>
        <v>6.1204000000000001E-2</v>
      </c>
      <c r="G46" s="59">
        <f>H46*D51</f>
        <v>3.6515144729806499E-2</v>
      </c>
      <c r="H46" s="63">
        <f>F46/(1-D51)</f>
        <v>9.7719144729806501E-2</v>
      </c>
      <c r="I46" s="58"/>
      <c r="J46" s="15"/>
      <c r="K46" s="15"/>
      <c r="L46" s="15"/>
      <c r="M46" s="15"/>
    </row>
    <row r="47" spans="1:17" ht="15.75">
      <c r="A47" s="17"/>
      <c r="B47" s="17"/>
      <c r="C47" s="17"/>
      <c r="D47" s="64"/>
      <c r="E47" s="58"/>
      <c r="F47" s="14"/>
      <c r="G47" s="59"/>
      <c r="H47" s="59"/>
      <c r="I47" s="67"/>
    </row>
    <row r="48" spans="1:17" ht="16.5" thickBot="1">
      <c r="A48" s="19" t="s">
        <v>30</v>
      </c>
      <c r="B48" s="19"/>
      <c r="C48" s="19"/>
      <c r="D48" s="65">
        <f>D42+D44+D46</f>
        <v>1</v>
      </c>
      <c r="E48" s="14"/>
      <c r="F48" s="65">
        <f>F42+F44+F46</f>
        <v>7.7972079999999999E-2</v>
      </c>
      <c r="G48" s="59"/>
      <c r="H48" s="65">
        <f>H42+H44+H46</f>
        <v>0.11448722472980651</v>
      </c>
      <c r="I48" s="24"/>
      <c r="J48" s="24"/>
      <c r="K48" s="24"/>
      <c r="L48" s="24"/>
      <c r="M48" s="24"/>
    </row>
    <row r="49" spans="1:8" ht="16.5" thickTop="1">
      <c r="A49" s="22"/>
      <c r="B49" s="22"/>
      <c r="C49" s="22"/>
      <c r="D49" s="22"/>
      <c r="E49" s="22"/>
      <c r="F49" s="22"/>
      <c r="G49" s="22"/>
      <c r="H49" s="22"/>
    </row>
    <row r="50" spans="1:8" ht="15.75">
      <c r="A50" s="22"/>
      <c r="B50" s="22"/>
      <c r="C50" s="22"/>
      <c r="D50" s="22"/>
      <c r="E50" s="22"/>
      <c r="F50" s="22"/>
      <c r="G50" s="22"/>
      <c r="H50" s="22"/>
    </row>
    <row r="51" spans="1:8" ht="15.75">
      <c r="A51" s="22" t="s">
        <v>31</v>
      </c>
      <c r="B51" s="22"/>
      <c r="C51" s="22"/>
      <c r="D51" s="39">
        <v>0.37367441999999995</v>
      </c>
      <c r="E51" s="22"/>
      <c r="F51" s="22"/>
      <c r="G51" s="22"/>
      <c r="H51" s="22"/>
    </row>
    <row r="54" spans="1:8">
      <c r="A54" s="2"/>
    </row>
    <row r="55" spans="1:8">
      <c r="B55" s="21"/>
      <c r="C55" s="21"/>
    </row>
    <row r="56" spans="1:8">
      <c r="B56" s="1"/>
      <c r="C56" s="1"/>
    </row>
    <row r="57" spans="1:8">
      <c r="B57" s="1"/>
      <c r="C57" s="1"/>
    </row>
  </sheetData>
  <pageMargins left="0.7" right="0.7" top="1" bottom="0.75" header="0.75" footer="0.3"/>
  <pageSetup scale="63" orientation="landscape" r:id="rId1"/>
  <headerFooter>
    <oddHeader>&amp;C&amp;"Times New Roman,Bold"&amp;14Louisville Gas and Electric Company&amp;12
Supplemental / Standby Rate Cost Support</oddHeader>
    <oddFooter>&amp;R&amp;"Times New Roman,Bold"&amp;12Conroy Exhibit M3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57"/>
  <sheetViews>
    <sheetView view="pageBreakPreview" zoomScale="60" zoomScaleNormal="100" workbookViewId="0">
      <selection activeCell="C29" sqref="C29"/>
    </sheetView>
  </sheetViews>
  <sheetFormatPr defaultRowHeight="15"/>
  <cols>
    <col min="1" max="1" width="45.7109375" customWidth="1"/>
    <col min="2" max="2" width="54.7109375" customWidth="1"/>
    <col min="3" max="3" width="5.140625" customWidth="1"/>
    <col min="4" max="7" width="18.7109375" customWidth="1"/>
    <col min="8" max="14" width="16.140625" customWidth="1"/>
    <col min="15" max="15" width="12.7109375" customWidth="1"/>
    <col min="16" max="17" width="16.5703125" bestFit="1" customWidth="1"/>
    <col min="18" max="18" width="17.28515625" bestFit="1" customWidth="1"/>
    <col min="19" max="19" width="15.140625" customWidth="1"/>
  </cols>
  <sheetData>
    <row r="1" spans="1:19" ht="15.75">
      <c r="A1" s="27"/>
      <c r="B1" s="27"/>
      <c r="C1" s="27"/>
      <c r="D1" s="22"/>
      <c r="E1" s="22"/>
      <c r="F1" s="22"/>
      <c r="G1" s="22"/>
      <c r="H1" s="22"/>
    </row>
    <row r="2" spans="1:19" ht="15.75">
      <c r="A2" s="54" t="s">
        <v>64</v>
      </c>
      <c r="B2" s="55"/>
      <c r="C2" s="55"/>
      <c r="D2" s="55"/>
      <c r="E2" s="55"/>
      <c r="F2" s="55"/>
      <c r="G2" s="55"/>
      <c r="H2" s="55"/>
    </row>
    <row r="3" spans="1:19" ht="15.75">
      <c r="A3" s="54" t="s">
        <v>67</v>
      </c>
      <c r="B3" s="55"/>
      <c r="C3" s="55"/>
      <c r="D3" s="55"/>
      <c r="E3" s="55"/>
      <c r="F3" s="55"/>
      <c r="G3" s="55"/>
      <c r="H3" s="55"/>
      <c r="J3" t="s">
        <v>66</v>
      </c>
      <c r="O3" t="s">
        <v>54</v>
      </c>
    </row>
    <row r="4" spans="1:19" ht="15.75">
      <c r="A4" s="54"/>
      <c r="B4" s="55"/>
      <c r="C4" s="55"/>
      <c r="D4" s="55"/>
      <c r="E4" s="55"/>
      <c r="F4" s="55"/>
      <c r="G4" s="55"/>
      <c r="H4" s="55"/>
    </row>
    <row r="5" spans="1:19" ht="15.75">
      <c r="A5" s="27"/>
      <c r="B5" s="22"/>
      <c r="C5" s="22"/>
      <c r="D5" s="28" t="s">
        <v>32</v>
      </c>
      <c r="E5" s="28" t="s">
        <v>32</v>
      </c>
      <c r="F5" s="28" t="s">
        <v>33</v>
      </c>
      <c r="G5" s="22"/>
      <c r="H5" s="22"/>
      <c r="K5" s="2" t="s">
        <v>32</v>
      </c>
      <c r="L5" s="2" t="s">
        <v>32</v>
      </c>
      <c r="M5" s="2" t="s">
        <v>33</v>
      </c>
      <c r="P5" s="2" t="s">
        <v>32</v>
      </c>
      <c r="Q5" s="2" t="s">
        <v>32</v>
      </c>
      <c r="R5" s="2" t="s">
        <v>33</v>
      </c>
    </row>
    <row r="6" spans="1:19" ht="15.75">
      <c r="A6" s="22"/>
      <c r="B6" s="22"/>
      <c r="C6" s="22"/>
      <c r="D6" s="28" t="s">
        <v>41</v>
      </c>
      <c r="E6" s="28" t="s">
        <v>41</v>
      </c>
      <c r="F6" s="28" t="s">
        <v>41</v>
      </c>
      <c r="G6" s="28"/>
      <c r="H6" s="28"/>
      <c r="I6" s="2"/>
      <c r="J6" s="2"/>
      <c r="K6" s="2" t="s">
        <v>41</v>
      </c>
      <c r="L6" s="2" t="s">
        <v>41</v>
      </c>
      <c r="M6" s="2" t="s">
        <v>41</v>
      </c>
      <c r="N6" s="2"/>
      <c r="O6" s="2"/>
      <c r="P6" s="2" t="s">
        <v>41</v>
      </c>
      <c r="Q6" s="2" t="s">
        <v>41</v>
      </c>
      <c r="R6" s="2" t="s">
        <v>41</v>
      </c>
      <c r="S6" s="2"/>
    </row>
    <row r="7" spans="1:19" ht="15.75">
      <c r="A7" s="22"/>
      <c r="B7" s="22"/>
      <c r="C7" s="22"/>
      <c r="D7" s="28" t="s">
        <v>36</v>
      </c>
      <c r="E7" s="28" t="s">
        <v>37</v>
      </c>
      <c r="F7" s="28" t="s">
        <v>38</v>
      </c>
      <c r="G7" s="28"/>
      <c r="H7" s="28"/>
      <c r="I7" s="2"/>
      <c r="J7" s="2"/>
      <c r="K7" s="2" t="s">
        <v>36</v>
      </c>
      <c r="L7" s="2" t="s">
        <v>37</v>
      </c>
      <c r="M7" s="2" t="s">
        <v>38</v>
      </c>
      <c r="N7" s="2"/>
      <c r="O7" s="2"/>
      <c r="P7" s="2" t="s">
        <v>36</v>
      </c>
      <c r="Q7" s="2" t="s">
        <v>37</v>
      </c>
      <c r="R7" s="2" t="s">
        <v>38</v>
      </c>
      <c r="S7" s="2"/>
    </row>
    <row r="8" spans="1:19" ht="15.75">
      <c r="A8" s="22"/>
      <c r="B8" s="27" t="s">
        <v>5</v>
      </c>
      <c r="C8" s="27"/>
      <c r="D8" s="28" t="s">
        <v>39</v>
      </c>
      <c r="E8" s="28" t="s">
        <v>6</v>
      </c>
      <c r="F8" s="28" t="s">
        <v>6</v>
      </c>
      <c r="G8" s="28" t="s">
        <v>2</v>
      </c>
      <c r="H8" s="22"/>
      <c r="K8" s="2" t="s">
        <v>39</v>
      </c>
      <c r="L8" s="2" t="s">
        <v>6</v>
      </c>
      <c r="M8" s="2" t="s">
        <v>6</v>
      </c>
      <c r="N8" s="2" t="s">
        <v>2</v>
      </c>
      <c r="O8" s="2"/>
      <c r="P8" s="2" t="s">
        <v>39</v>
      </c>
      <c r="Q8" s="2" t="s">
        <v>6</v>
      </c>
      <c r="R8" s="2" t="s">
        <v>6</v>
      </c>
      <c r="S8" s="2" t="s">
        <v>2</v>
      </c>
    </row>
    <row r="9" spans="1:19" ht="15.75">
      <c r="A9" s="22"/>
      <c r="B9" s="22"/>
      <c r="C9" s="22"/>
      <c r="D9" s="22"/>
      <c r="E9" s="22"/>
      <c r="F9" s="22"/>
      <c r="G9" s="22"/>
      <c r="H9" s="22"/>
    </row>
    <row r="10" spans="1:19" ht="15.75">
      <c r="A10" s="22" t="s">
        <v>7</v>
      </c>
      <c r="B10" s="22" t="s">
        <v>68</v>
      </c>
      <c r="C10" s="22"/>
      <c r="D10" s="29">
        <f>K10+P10</f>
        <v>1285962.2096402282</v>
      </c>
      <c r="E10" s="29">
        <f t="shared" ref="E10:F10" si="0">L10+Q10</f>
        <v>739183.02213128761</v>
      </c>
      <c r="F10" s="29">
        <f t="shared" si="0"/>
        <v>163771.03494398645</v>
      </c>
      <c r="G10" s="29">
        <f t="shared" ref="G10:G18" si="1">SUM(D10:F10)</f>
        <v>2188916.2667155024</v>
      </c>
      <c r="H10" s="22"/>
      <c r="K10" s="3">
        <v>1037267.2096402281</v>
      </c>
      <c r="L10" s="3">
        <v>582799</v>
      </c>
      <c r="M10" s="3">
        <v>129123.03494398647</v>
      </c>
      <c r="N10" s="3">
        <f t="shared" ref="N10:N13" si="2">SUM(K10:M10)</f>
        <v>1749189.2445842146</v>
      </c>
      <c r="O10" s="3"/>
      <c r="P10" s="3">
        <v>248695</v>
      </c>
      <c r="Q10" s="3">
        <v>156384.02213128758</v>
      </c>
      <c r="R10" s="3">
        <v>34648</v>
      </c>
      <c r="S10" s="3">
        <f t="shared" ref="S10:S18" si="3">SUM(P10:R10)</f>
        <v>439727.02213128761</v>
      </c>
    </row>
    <row r="11" spans="1:19" ht="15.75">
      <c r="A11" s="22" t="s">
        <v>8</v>
      </c>
      <c r="B11" s="22" t="s">
        <v>68</v>
      </c>
      <c r="C11" s="22"/>
      <c r="D11" s="29">
        <f t="shared" ref="D11:D18" si="4">K11+P11</f>
        <v>584639.64754441171</v>
      </c>
      <c r="E11" s="29">
        <f t="shared" ref="E11:E18" si="5">L11+Q11</f>
        <v>246043.49392137284</v>
      </c>
      <c r="F11" s="29">
        <f t="shared" ref="F11:F18" si="6">M11+R11</f>
        <v>344621.39159158542</v>
      </c>
      <c r="G11" s="29">
        <f t="shared" si="1"/>
        <v>1175304.53305737</v>
      </c>
      <c r="H11" s="22"/>
      <c r="K11" s="4">
        <v>471574.64754441171</v>
      </c>
      <c r="L11" s="4">
        <v>193989.70959645303</v>
      </c>
      <c r="M11" s="4">
        <v>271712.39159158542</v>
      </c>
      <c r="N11" s="3">
        <f t="shared" si="2"/>
        <v>937276.74873245019</v>
      </c>
      <c r="O11" s="4"/>
      <c r="P11" s="4">
        <v>113065</v>
      </c>
      <c r="Q11" s="4">
        <v>52053.784324919798</v>
      </c>
      <c r="R11" s="4">
        <v>72909</v>
      </c>
      <c r="S11" s="3">
        <f t="shared" si="3"/>
        <v>238027.7843249198</v>
      </c>
    </row>
    <row r="12" spans="1:19" ht="15.75">
      <c r="A12" s="22" t="s">
        <v>9</v>
      </c>
      <c r="B12" s="22" t="s">
        <v>68</v>
      </c>
      <c r="C12" s="22"/>
      <c r="D12" s="29">
        <f t="shared" si="4"/>
        <v>697.38574236458271</v>
      </c>
      <c r="E12" s="29">
        <f t="shared" si="5"/>
        <v>293.34629355200138</v>
      </c>
      <c r="F12" s="29">
        <f t="shared" si="6"/>
        <v>411.03602664093381</v>
      </c>
      <c r="G12" s="29">
        <f t="shared" si="1"/>
        <v>1401.7680625575179</v>
      </c>
      <c r="H12" s="22"/>
      <c r="K12" s="4">
        <v>562.38574236458271</v>
      </c>
      <c r="L12" s="4">
        <v>231.34629355200136</v>
      </c>
      <c r="M12" s="4">
        <v>324.03602664093381</v>
      </c>
      <c r="N12" s="3">
        <f t="shared" si="2"/>
        <v>1117.7680625575179</v>
      </c>
      <c r="O12" s="4"/>
      <c r="P12" s="4">
        <v>135</v>
      </c>
      <c r="Q12" s="4">
        <v>62</v>
      </c>
      <c r="R12" s="4">
        <v>87</v>
      </c>
      <c r="S12" s="3">
        <f t="shared" si="3"/>
        <v>284</v>
      </c>
    </row>
    <row r="13" spans="1:19" ht="15.75">
      <c r="A13" s="22" t="s">
        <v>10</v>
      </c>
      <c r="B13" s="22" t="s">
        <v>68</v>
      </c>
      <c r="C13" s="22"/>
      <c r="D13" s="29">
        <f t="shared" si="4"/>
        <v>131671.94776936882</v>
      </c>
      <c r="E13" s="29">
        <f t="shared" si="5"/>
        <v>55413.866473670314</v>
      </c>
      <c r="F13" s="29">
        <f t="shared" si="6"/>
        <v>77616.01047123535</v>
      </c>
      <c r="G13" s="29">
        <f t="shared" si="1"/>
        <v>264701.82471427449</v>
      </c>
      <c r="H13" s="22"/>
      <c r="K13" s="4">
        <v>106207.94776936881</v>
      </c>
      <c r="L13" s="4">
        <v>43690.323582704346</v>
      </c>
      <c r="M13" s="4">
        <v>61195.010471235342</v>
      </c>
      <c r="N13" s="3">
        <f t="shared" si="2"/>
        <v>211093.2818233085</v>
      </c>
      <c r="O13" s="4"/>
      <c r="P13" s="4">
        <v>25464</v>
      </c>
      <c r="Q13" s="4">
        <v>11723.542890965968</v>
      </c>
      <c r="R13" s="4">
        <v>16421</v>
      </c>
      <c r="S13" s="3">
        <f t="shared" si="3"/>
        <v>53608.542890965968</v>
      </c>
    </row>
    <row r="14" spans="1:19" ht="15.75">
      <c r="A14" s="22" t="s">
        <v>55</v>
      </c>
      <c r="B14" s="22" t="s">
        <v>68</v>
      </c>
      <c r="C14" s="22"/>
      <c r="D14" s="29">
        <f t="shared" si="4"/>
        <v>-4.3623681312207729</v>
      </c>
      <c r="E14" s="29">
        <f t="shared" si="5"/>
        <v>-1.7543114481732685</v>
      </c>
      <c r="F14" s="29">
        <f t="shared" si="6"/>
        <v>-2.9373329145292644</v>
      </c>
      <c r="G14" s="29">
        <f t="shared" ref="G14" si="7">SUM(D14:F14)</f>
        <v>-9.054012493923306</v>
      </c>
      <c r="H14" s="22"/>
      <c r="K14" s="4">
        <v>-3.3623681312207725</v>
      </c>
      <c r="L14" s="4">
        <v>-1.3831634519123661</v>
      </c>
      <c r="M14" s="4">
        <v>-1.9373329145292641</v>
      </c>
      <c r="N14" s="3">
        <f t="shared" ref="N14" si="8">SUM(K14:M14)</f>
        <v>-6.6828644976624032</v>
      </c>
      <c r="O14" s="4"/>
      <c r="P14" s="4">
        <f>-1</f>
        <v>-1</v>
      </c>
      <c r="Q14" s="4">
        <v>-0.37114799626090234</v>
      </c>
      <c r="R14" s="4">
        <f>-1</f>
        <v>-1</v>
      </c>
      <c r="S14" s="3">
        <f t="shared" ref="S14" si="9">SUM(P14:R14)</f>
        <v>-2.3711479962609023</v>
      </c>
    </row>
    <row r="15" spans="1:19" ht="15.75">
      <c r="A15" s="22" t="s">
        <v>57</v>
      </c>
      <c r="B15" s="22" t="s">
        <v>68</v>
      </c>
      <c r="C15" s="22"/>
      <c r="D15" s="29">
        <f t="shared" si="4"/>
        <v>-873.13207362661387</v>
      </c>
      <c r="E15" s="29">
        <f t="shared" si="5"/>
        <v>-367.38004572410239</v>
      </c>
      <c r="F15" s="29">
        <f t="shared" si="6"/>
        <v>-514.70758143526245</v>
      </c>
      <c r="G15" s="29">
        <f t="shared" si="1"/>
        <v>-1755.2197007859786</v>
      </c>
      <c r="H15" s="22"/>
      <c r="K15" s="4">
        <v>-704.13207362661387</v>
      </c>
      <c r="L15" s="4">
        <v>-289.65589475950571</v>
      </c>
      <c r="M15" s="4">
        <v>-405.7075814352624</v>
      </c>
      <c r="N15" s="3">
        <f t="shared" ref="N15:N18" si="10">SUM(K15:M15)</f>
        <v>-1399.4955498213819</v>
      </c>
      <c r="O15" s="4"/>
      <c r="P15" s="4">
        <f>-169</f>
        <v>-169</v>
      </c>
      <c r="Q15" s="4">
        <v>-77.724150964596646</v>
      </c>
      <c r="R15" s="4">
        <f>-109</f>
        <v>-109</v>
      </c>
      <c r="S15" s="3">
        <f t="shared" si="3"/>
        <v>-355.72415096459667</v>
      </c>
    </row>
    <row r="16" spans="1:19" ht="15.75">
      <c r="A16" s="22" t="s">
        <v>62</v>
      </c>
      <c r="B16" s="22" t="s">
        <v>68</v>
      </c>
      <c r="C16" s="22"/>
      <c r="D16" s="29">
        <f t="shared" si="4"/>
        <v>36316.655558592916</v>
      </c>
      <c r="E16" s="29">
        <f t="shared" si="5"/>
        <v>15133.628975249312</v>
      </c>
      <c r="F16" s="29">
        <f t="shared" si="6"/>
        <v>21040.78546615778</v>
      </c>
      <c r="G16" s="29">
        <f t="shared" si="1"/>
        <v>72491.070000000007</v>
      </c>
      <c r="H16" s="22"/>
      <c r="K16" s="4">
        <f>65325.89*(K22/$N$22)</f>
        <v>32903.96191295921</v>
      </c>
      <c r="L16" s="4">
        <f t="shared" ref="L16:M16" si="11">65325.89*(L22/$N$22)</f>
        <v>13559.664208910601</v>
      </c>
      <c r="M16" s="4">
        <f t="shared" si="11"/>
        <v>18862.263878130198</v>
      </c>
      <c r="N16" s="3">
        <f t="shared" si="10"/>
        <v>65325.890000000014</v>
      </c>
      <c r="O16" s="4"/>
      <c r="P16" s="4">
        <f>7165.18*(P22/$S$22)</f>
        <v>3412.6936456337057</v>
      </c>
      <c r="Q16" s="4">
        <f t="shared" ref="Q16:R16" si="12">7165.18*(Q22/$S$22)</f>
        <v>1573.9647663387116</v>
      </c>
      <c r="R16" s="4">
        <f t="shared" si="12"/>
        <v>2178.5215880275828</v>
      </c>
      <c r="S16" s="3">
        <f t="shared" si="3"/>
        <v>7165.18</v>
      </c>
    </row>
    <row r="17" spans="1:19" ht="15.75">
      <c r="A17" s="22" t="s">
        <v>56</v>
      </c>
      <c r="B17" s="22" t="s">
        <v>68</v>
      </c>
      <c r="C17" s="22"/>
      <c r="D17" s="29">
        <f t="shared" si="4"/>
        <v>-15987.154327814045</v>
      </c>
      <c r="E17" s="29">
        <f t="shared" si="5"/>
        <v>-6728.0309533007185</v>
      </c>
      <c r="F17" s="29">
        <f t="shared" si="6"/>
        <v>-9423.9439984694291</v>
      </c>
      <c r="G17" s="29">
        <f t="shared" si="1"/>
        <v>-32139.129279584191</v>
      </c>
      <c r="H17" s="22"/>
      <c r="K17" s="4">
        <v>-12895.154327814045</v>
      </c>
      <c r="L17" s="4">
        <v>-5304.6262267915981</v>
      </c>
      <c r="M17" s="4">
        <v>-7429.9439984694282</v>
      </c>
      <c r="N17" s="3">
        <f t="shared" si="10"/>
        <v>-25629.724553075073</v>
      </c>
      <c r="O17" s="4"/>
      <c r="P17" s="4">
        <f>-3092</f>
        <v>-3092</v>
      </c>
      <c r="Q17" s="4">
        <v>-1423.4047265091206</v>
      </c>
      <c r="R17" s="4">
        <f>-1994</f>
        <v>-1994</v>
      </c>
      <c r="S17" s="3">
        <f t="shared" si="3"/>
        <v>-6509.4047265091203</v>
      </c>
    </row>
    <row r="18" spans="1:19" ht="15.75">
      <c r="A18" s="22" t="s">
        <v>60</v>
      </c>
      <c r="B18" s="22" t="s">
        <v>68</v>
      </c>
      <c r="C18" s="30"/>
      <c r="D18" s="29">
        <f t="shared" si="4"/>
        <v>-750315.18093354627</v>
      </c>
      <c r="E18" s="29">
        <f t="shared" si="5"/>
        <v>-425822.0620335461</v>
      </c>
      <c r="F18" s="29">
        <f t="shared" si="6"/>
        <v>-94343.757032907626</v>
      </c>
      <c r="G18" s="29">
        <f t="shared" si="1"/>
        <v>-1270481</v>
      </c>
      <c r="H18" s="22"/>
      <c r="K18" s="4">
        <f>(K10/$N$10)*(-1158255)</f>
        <v>-686843.88245676761</v>
      </c>
      <c r="L18" s="4">
        <f t="shared" ref="L18:M18" si="13">(L10/$N$10)*(-1158255)</f>
        <v>-385910.13398636336</v>
      </c>
      <c r="M18" s="4">
        <f t="shared" si="13"/>
        <v>-85500.983556869003</v>
      </c>
      <c r="N18" s="3">
        <f t="shared" si="10"/>
        <v>-1158255</v>
      </c>
      <c r="O18" s="4"/>
      <c r="P18" s="4">
        <f>(P10/$S$10)*(-112226)</f>
        <v>-63471.29847677864</v>
      </c>
      <c r="Q18" s="4">
        <f t="shared" ref="Q18:R18" si="14">(Q10/$S$10)*(-112226)</f>
        <v>-39911.92804718273</v>
      </c>
      <c r="R18" s="4">
        <f t="shared" si="14"/>
        <v>-8842.7734760386265</v>
      </c>
      <c r="S18" s="3">
        <f t="shared" si="3"/>
        <v>-112226</v>
      </c>
    </row>
    <row r="19" spans="1:19" ht="15.75">
      <c r="A19" s="22"/>
      <c r="B19" s="22"/>
      <c r="C19" s="22"/>
      <c r="D19" s="30"/>
      <c r="E19" s="30"/>
      <c r="F19" s="30"/>
      <c r="G19" s="30"/>
      <c r="H19" s="22"/>
      <c r="K19" s="4"/>
      <c r="L19" s="4"/>
      <c r="M19" s="4"/>
      <c r="N19" s="4"/>
      <c r="O19" s="4"/>
      <c r="P19" s="4"/>
      <c r="Q19" s="4"/>
      <c r="R19" s="4"/>
      <c r="S19" s="4"/>
    </row>
    <row r="20" spans="1:19" ht="15.75">
      <c r="A20" s="22" t="s">
        <v>11</v>
      </c>
      <c r="B20" s="22"/>
      <c r="C20" s="22"/>
      <c r="D20" s="31">
        <f>SUM(D10:D19)</f>
        <v>1272108.016551848</v>
      </c>
      <c r="E20" s="31">
        <f>SUM(E10:E19)</f>
        <v>623148.13045111299</v>
      </c>
      <c r="F20" s="31">
        <f>SUM(F10:F19)</f>
        <v>503174.91255387914</v>
      </c>
      <c r="G20" s="31">
        <f>SUM(D20:F20)</f>
        <v>2398431.05955684</v>
      </c>
      <c r="H20" s="32"/>
      <c r="I20" s="6"/>
      <c r="J20" s="6"/>
      <c r="K20" s="5">
        <f>SUM(K10:K19)</f>
        <v>948069.62138299271</v>
      </c>
      <c r="L20" s="5">
        <f>SUM(L10:L19)</f>
        <v>442764.24441025342</v>
      </c>
      <c r="M20" s="5">
        <f>SUM(M10:M19)</f>
        <v>387878.16444189008</v>
      </c>
      <c r="N20" s="5">
        <f>SUM(K20:M20)</f>
        <v>1778712.0302351362</v>
      </c>
      <c r="O20" s="7"/>
      <c r="P20" s="5">
        <f>SUM(P10:P19)</f>
        <v>324038.39516885509</v>
      </c>
      <c r="Q20" s="5">
        <f>SUM(Q10:Q19)</f>
        <v>180383.88604085936</v>
      </c>
      <c r="R20" s="5">
        <f>SUM(R10:R19)</f>
        <v>115296.74811198896</v>
      </c>
      <c r="S20" s="5">
        <f>SUM(P20:R20)</f>
        <v>619719.02932170348</v>
      </c>
    </row>
    <row r="21" spans="1:19" ht="15.75">
      <c r="A21" s="22"/>
      <c r="B21" s="22"/>
      <c r="C21" s="22"/>
      <c r="D21" s="30"/>
      <c r="E21" s="30"/>
      <c r="F21" s="30"/>
      <c r="G21" s="30"/>
      <c r="H21" s="32"/>
      <c r="I21" s="6"/>
      <c r="J21" s="6"/>
      <c r="K21" s="4"/>
      <c r="L21" s="4"/>
      <c r="M21" s="4"/>
      <c r="N21" s="4"/>
      <c r="O21" s="8"/>
      <c r="P21" s="4"/>
      <c r="Q21" s="4"/>
      <c r="R21" s="4"/>
      <c r="S21" s="4"/>
    </row>
    <row r="22" spans="1:19" ht="15.75">
      <c r="A22" s="22" t="s">
        <v>61</v>
      </c>
      <c r="B22" s="22" t="s">
        <v>68</v>
      </c>
      <c r="C22" s="33"/>
      <c r="D22" s="30">
        <f>K22+P22</f>
        <v>12174252.697095439</v>
      </c>
      <c r="E22" s="30">
        <f t="shared" ref="E22:F22" si="15">L22+Q22</f>
        <v>5132664.0423612287</v>
      </c>
      <c r="F22" s="30">
        <f t="shared" si="15"/>
        <v>7132267.9044314232</v>
      </c>
      <c r="G22" s="30">
        <f>SUM(D22:F22)</f>
        <v>24439184.643888094</v>
      </c>
      <c r="H22" s="32"/>
      <c r="I22" s="6"/>
      <c r="J22" s="6"/>
      <c r="K22" s="4">
        <f>10103321.9154529+(10103321.92/20029660)*(-563987.59)</f>
        <v>9818836.3984418772</v>
      </c>
      <c r="L22" s="4">
        <f>4163561+(4163561/20029660)*(-563987.59)</f>
        <v>4046325.02424165</v>
      </c>
      <c r="M22" s="4">
        <f>5762776.63394436+(4762776.63/20029660)*(-563987.59)</f>
        <v>5628668.1711316099</v>
      </c>
      <c r="N22" s="4">
        <f>SUM(K22:M22)</f>
        <v>19493829.593815137</v>
      </c>
      <c r="O22" s="8"/>
      <c r="P22" s="4">
        <f>2422372+(2422372/5085933)*-140578</f>
        <v>2355416.2986535607</v>
      </c>
      <c r="Q22" s="4">
        <f>1117219.58499241+(1117219.58/5085933)*-140578</f>
        <v>1086339.0181195785</v>
      </c>
      <c r="R22" s="4">
        <f>1546341.46646257+(1546341.47/5085933)*-140578</f>
        <v>1503599.733299813</v>
      </c>
      <c r="S22" s="4">
        <f>SUM(P22:R22)</f>
        <v>4945355.0500729522</v>
      </c>
    </row>
    <row r="23" spans="1:19" ht="15.75">
      <c r="A23" s="22"/>
      <c r="B23" s="22"/>
      <c r="C23" s="22"/>
      <c r="D23" s="30"/>
      <c r="E23" s="30"/>
      <c r="F23" s="30"/>
      <c r="G23" s="30"/>
      <c r="H23" s="32"/>
      <c r="I23" s="6"/>
      <c r="J23" s="6"/>
      <c r="K23" s="4"/>
      <c r="L23" s="4"/>
      <c r="M23" s="4"/>
      <c r="N23" s="4"/>
      <c r="O23" s="8"/>
      <c r="P23" s="4"/>
      <c r="Q23" s="4"/>
      <c r="R23" s="4"/>
      <c r="S23" s="4"/>
    </row>
    <row r="24" spans="1:19" ht="15.75">
      <c r="A24" s="22" t="s">
        <v>12</v>
      </c>
      <c r="B24" s="22" t="s">
        <v>13</v>
      </c>
      <c r="C24" s="22"/>
      <c r="D24" s="30">
        <f>D22*F48</f>
        <v>949251.80523814133</v>
      </c>
      <c r="E24" s="30">
        <f>E22*F48</f>
        <v>400204.4913241131</v>
      </c>
      <c r="F24" s="30">
        <f>F22*F48</f>
        <v>556117.76362575928</v>
      </c>
      <c r="G24" s="30">
        <f>SUM(D24:F24)</f>
        <v>1905574.0601880136</v>
      </c>
      <c r="H24" s="32"/>
      <c r="I24" s="6"/>
      <c r="J24" s="6"/>
      <c r="K24" s="4">
        <f>K22*F48</f>
        <v>765595.09716622194</v>
      </c>
      <c r="L24" s="4">
        <f>L22*F48</f>
        <v>315500.37849617185</v>
      </c>
      <c r="M24" s="4">
        <f>M22*F48</f>
        <v>438878.96493292757</v>
      </c>
      <c r="N24" s="4">
        <f>SUM(K24:M24)</f>
        <v>1519974.4405953214</v>
      </c>
      <c r="O24" s="8"/>
      <c r="P24" s="4">
        <f>P22*F48</f>
        <v>183656.70807191933</v>
      </c>
      <c r="Q24" s="4">
        <f>Q22*F48</f>
        <v>84704.112827941222</v>
      </c>
      <c r="R24" s="4">
        <f>R22*F48</f>
        <v>117238.79869283168</v>
      </c>
      <c r="S24" s="4">
        <f>SUM(P24:R24)</f>
        <v>385599.61959269224</v>
      </c>
    </row>
    <row r="25" spans="1:19" ht="15.75">
      <c r="A25" s="22"/>
      <c r="B25" s="22"/>
      <c r="C25" s="22"/>
      <c r="D25" s="30"/>
      <c r="E25" s="30"/>
      <c r="F25" s="30"/>
      <c r="G25" s="30"/>
      <c r="H25" s="32"/>
      <c r="I25" s="6"/>
      <c r="J25" s="6"/>
      <c r="K25" s="4"/>
      <c r="L25" s="4"/>
      <c r="M25" s="4"/>
      <c r="N25" s="4"/>
      <c r="O25" s="8"/>
      <c r="P25" s="4"/>
      <c r="Q25" s="4"/>
      <c r="R25" s="4"/>
      <c r="S25" s="4"/>
    </row>
    <row r="26" spans="1:19" ht="15.75">
      <c r="A26" s="22" t="s">
        <v>14</v>
      </c>
      <c r="B26" s="22" t="s">
        <v>15</v>
      </c>
      <c r="C26" s="22"/>
      <c r="D26" s="30">
        <f>$G$46*D22</f>
        <v>444544.59921167709</v>
      </c>
      <c r="E26" s="30">
        <f>$G$46*E22</f>
        <v>187419.97035629395</v>
      </c>
      <c r="F26" s="30">
        <f>$G$46*F22</f>
        <v>260435.79478206713</v>
      </c>
      <c r="G26" s="30">
        <f>SUM(D26:F26)</f>
        <v>892400.36435003811</v>
      </c>
      <c r="H26" s="32"/>
      <c r="I26" s="6"/>
      <c r="J26" s="6"/>
      <c r="K26" s="4">
        <f>$G$46*K22</f>
        <v>358536.23216739716</v>
      </c>
      <c r="L26" s="4">
        <f>$G$46*L22</f>
        <v>147752.14388402164</v>
      </c>
      <c r="M26" s="4">
        <f>$G$46*M22</f>
        <v>205531.63290492599</v>
      </c>
      <c r="N26" s="4">
        <f>SUM(K26:M26)</f>
        <v>711820.0089563448</v>
      </c>
      <c r="O26" s="8"/>
      <c r="P26" s="4">
        <f>$G$46*P22</f>
        <v>86008.367044279905</v>
      </c>
      <c r="Q26" s="4">
        <f>$G$46*Q22</f>
        <v>39667.826472272296</v>
      </c>
      <c r="R26" s="4">
        <f>$G$46*R22</f>
        <v>54904.161877141123</v>
      </c>
      <c r="S26" s="4">
        <f>SUM(P26:R26)</f>
        <v>180580.35539369332</v>
      </c>
    </row>
    <row r="27" spans="1:19" ht="15.75">
      <c r="A27" s="22"/>
      <c r="B27" s="22"/>
      <c r="C27" s="22"/>
      <c r="D27" s="30"/>
      <c r="E27" s="30"/>
      <c r="F27" s="30"/>
      <c r="G27" s="30"/>
      <c r="H27" s="32"/>
      <c r="I27" s="6"/>
      <c r="J27" s="6"/>
      <c r="K27" s="4"/>
      <c r="L27" s="4"/>
      <c r="M27" s="4"/>
      <c r="N27" s="4"/>
      <c r="O27" s="8"/>
      <c r="P27" s="4"/>
      <c r="Q27" s="4"/>
      <c r="R27" s="4"/>
      <c r="S27" s="4"/>
    </row>
    <row r="28" spans="1:19" ht="15.75">
      <c r="A28" s="22" t="s">
        <v>16</v>
      </c>
      <c r="B28" s="22" t="s">
        <v>17</v>
      </c>
      <c r="C28" s="22"/>
      <c r="D28" s="31">
        <f>D20+D24+D26</f>
        <v>2665904.4210016662</v>
      </c>
      <c r="E28" s="31">
        <f>E20+E24+E26</f>
        <v>1210772.5921315202</v>
      </c>
      <c r="F28" s="31">
        <f>F20+F24+F26</f>
        <v>1319728.4709617055</v>
      </c>
      <c r="G28" s="31">
        <f>SUM(D28:F28)</f>
        <v>5196405.4840948917</v>
      </c>
      <c r="H28" s="32"/>
      <c r="I28" s="6"/>
      <c r="J28" s="6"/>
      <c r="K28" s="5">
        <f>K20+K24+K26</f>
        <v>2072200.9507166119</v>
      </c>
      <c r="L28" s="5">
        <f>L20+L24+L26</f>
        <v>906016.76679044694</v>
      </c>
      <c r="M28" s="5">
        <f>M20+M24+M26</f>
        <v>1032288.7622797437</v>
      </c>
      <c r="N28" s="5">
        <f>SUM(K28:M28)</f>
        <v>4010506.4797868025</v>
      </c>
      <c r="O28" s="7"/>
      <c r="P28" s="5">
        <f>P20+P24+P26</f>
        <v>593703.4702850543</v>
      </c>
      <c r="Q28" s="5">
        <f>Q20+Q24+Q26</f>
        <v>304755.82534107286</v>
      </c>
      <c r="R28" s="5">
        <f>R20+R24+R26</f>
        <v>287439.70868196175</v>
      </c>
      <c r="S28" s="5">
        <f>SUM(P28:R28)</f>
        <v>1185899.0043080889</v>
      </c>
    </row>
    <row r="29" spans="1:19" ht="15.75">
      <c r="A29" s="22"/>
      <c r="B29" s="22"/>
      <c r="C29" s="22"/>
      <c r="D29" s="22"/>
      <c r="E29" s="22"/>
      <c r="F29" s="22"/>
      <c r="G29" s="22"/>
      <c r="H29" s="32"/>
      <c r="I29" s="6"/>
      <c r="J29" s="6"/>
      <c r="O29" s="6"/>
    </row>
    <row r="30" spans="1:19" ht="15.75">
      <c r="A30" s="22" t="s">
        <v>40</v>
      </c>
      <c r="B30" s="22" t="s">
        <v>52</v>
      </c>
      <c r="C30" s="22"/>
      <c r="D30" s="30">
        <f>K30+P30</f>
        <v>8097988.444444444</v>
      </c>
      <c r="E30" s="30">
        <f>D30</f>
        <v>8097988.444444444</v>
      </c>
      <c r="F30" s="30">
        <f>D30</f>
        <v>8097988.444444444</v>
      </c>
      <c r="G30" s="30">
        <f>D30</f>
        <v>8097988.444444444</v>
      </c>
      <c r="H30" s="32"/>
      <c r="I30" s="6"/>
      <c r="J30" s="6"/>
      <c r="K30" s="4">
        <f>6013535/0.9</f>
        <v>6681705.555555555</v>
      </c>
      <c r="L30" s="4">
        <f>K30</f>
        <v>6681705.555555555</v>
      </c>
      <c r="M30" s="4">
        <f>K30</f>
        <v>6681705.555555555</v>
      </c>
      <c r="N30" s="4">
        <f>K30</f>
        <v>6681705.555555555</v>
      </c>
      <c r="O30" s="9"/>
      <c r="P30" s="4">
        <f>1015454+360746/0.9</f>
        <v>1416282.888888889</v>
      </c>
      <c r="Q30" s="4">
        <f>P30</f>
        <v>1416282.888888889</v>
      </c>
      <c r="R30" s="4">
        <f>P30</f>
        <v>1416282.888888889</v>
      </c>
      <c r="S30" s="4">
        <f>P30</f>
        <v>1416282.888888889</v>
      </c>
    </row>
    <row r="31" spans="1:19" ht="15.75">
      <c r="A31" s="22"/>
      <c r="B31" s="22"/>
      <c r="C31" s="22"/>
      <c r="D31" s="30"/>
      <c r="E31" s="30"/>
      <c r="F31" s="30"/>
      <c r="G31" s="22"/>
      <c r="H31" s="34"/>
      <c r="I31" s="25"/>
      <c r="J31" s="6"/>
      <c r="K31" s="4"/>
      <c r="L31" s="4"/>
      <c r="M31" s="4"/>
      <c r="O31" s="6"/>
      <c r="P31" s="4"/>
      <c r="Q31" s="4"/>
      <c r="R31" s="4"/>
    </row>
    <row r="32" spans="1:19" ht="16.5" thickBot="1">
      <c r="A32" s="22" t="s">
        <v>70</v>
      </c>
      <c r="B32" s="22" t="s">
        <v>19</v>
      </c>
      <c r="C32" s="22"/>
      <c r="D32" s="35">
        <f>D28/D30</f>
        <v>0.32920575761386611</v>
      </c>
      <c r="E32" s="35">
        <f>E28/E30</f>
        <v>0.14951522843455778</v>
      </c>
      <c r="F32" s="35">
        <f>F28/F30</f>
        <v>0.16296991283892162</v>
      </c>
      <c r="G32" s="35">
        <f>G28/G30</f>
        <v>0.64169089888734543</v>
      </c>
      <c r="H32" s="36"/>
      <c r="I32" s="26"/>
      <c r="J32" s="6"/>
      <c r="K32" s="20">
        <f>K28/K30</f>
        <v>0.31013053979813054</v>
      </c>
      <c r="L32" s="20">
        <f>L28/L30</f>
        <v>0.13559663161707752</v>
      </c>
      <c r="M32" s="20">
        <f>M28/M30</f>
        <v>0.15449479982269487</v>
      </c>
      <c r="N32" s="20">
        <f>N28/N30</f>
        <v>0.60022197123790288</v>
      </c>
      <c r="O32" s="10"/>
      <c r="P32" s="20">
        <f>P28/P30</f>
        <v>0.41919836421297879</v>
      </c>
      <c r="Q32" s="20">
        <f>Q28/Q30</f>
        <v>0.21518005176223076</v>
      </c>
      <c r="R32" s="20">
        <f>R28/R30</f>
        <v>0.2029535984209099</v>
      </c>
      <c r="S32" s="20">
        <f>S28/S30</f>
        <v>0.83733201439611948</v>
      </c>
    </row>
    <row r="33" spans="1:18" ht="16.5" thickTop="1">
      <c r="A33" s="22"/>
      <c r="B33" s="22"/>
      <c r="C33" s="22"/>
      <c r="D33" s="22"/>
      <c r="E33" s="22"/>
      <c r="F33" s="22"/>
      <c r="G33" s="22"/>
      <c r="H33" s="22"/>
    </row>
    <row r="34" spans="1:18" ht="15.75">
      <c r="A34" s="32"/>
      <c r="B34" s="32"/>
      <c r="C34" s="32"/>
      <c r="D34" s="37"/>
      <c r="E34" s="37"/>
      <c r="F34" s="37"/>
      <c r="G34" s="37"/>
      <c r="H34" s="37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ht="15.75">
      <c r="A35" s="22"/>
      <c r="B35" s="22"/>
      <c r="C35" s="22"/>
      <c r="D35" s="22"/>
      <c r="E35" s="22"/>
      <c r="F35" s="22"/>
      <c r="G35" s="22"/>
      <c r="H35" s="22"/>
      <c r="P35" s="23"/>
    </row>
    <row r="36" spans="1:18" ht="15.75">
      <c r="A36" s="22"/>
      <c r="B36" s="22"/>
      <c r="C36" s="22"/>
      <c r="D36" s="22"/>
      <c r="E36" s="22"/>
      <c r="F36" s="38"/>
      <c r="G36" s="38"/>
      <c r="H36" s="38" t="s">
        <v>20</v>
      </c>
      <c r="I36" s="12"/>
      <c r="J36" s="12"/>
      <c r="K36" s="12"/>
      <c r="L36" s="12"/>
      <c r="M36" s="12"/>
      <c r="N36" s="12"/>
    </row>
    <row r="37" spans="1:18" ht="15.75">
      <c r="A37" s="22"/>
      <c r="B37" s="22"/>
      <c r="C37" s="22"/>
      <c r="D37" s="22"/>
      <c r="E37" s="22"/>
      <c r="F37" s="38"/>
      <c r="G37" s="38"/>
      <c r="H37" s="38" t="s">
        <v>21</v>
      </c>
      <c r="I37" s="12"/>
      <c r="J37" s="12"/>
      <c r="K37" s="12"/>
      <c r="L37" s="12"/>
      <c r="M37" s="12"/>
      <c r="N37" s="12"/>
    </row>
    <row r="38" spans="1:18" ht="15.75">
      <c r="A38" s="22"/>
      <c r="B38" s="22"/>
      <c r="C38" s="22"/>
      <c r="D38" s="22"/>
      <c r="E38" s="22"/>
      <c r="F38" s="38" t="s">
        <v>20</v>
      </c>
      <c r="G38" s="38"/>
      <c r="H38" s="38" t="s">
        <v>22</v>
      </c>
      <c r="I38" s="12"/>
      <c r="J38" s="12"/>
      <c r="K38" s="12"/>
      <c r="L38" s="12"/>
      <c r="M38" s="12"/>
      <c r="N38" s="12"/>
    </row>
    <row r="39" spans="1:18" ht="15.75">
      <c r="A39" s="22"/>
      <c r="B39" s="22"/>
      <c r="C39" s="22"/>
      <c r="D39" s="22"/>
      <c r="E39" s="22"/>
      <c r="F39" s="38" t="s">
        <v>21</v>
      </c>
      <c r="G39" s="38" t="s">
        <v>23</v>
      </c>
      <c r="H39" s="38" t="s">
        <v>24</v>
      </c>
      <c r="I39" s="12"/>
      <c r="J39" s="12"/>
      <c r="K39" s="12"/>
      <c r="L39" s="12"/>
      <c r="M39" s="12"/>
      <c r="N39" s="12"/>
    </row>
    <row r="40" spans="1:18" ht="15.75">
      <c r="A40" s="22"/>
      <c r="B40" s="22"/>
      <c r="C40" s="22"/>
      <c r="D40" s="22"/>
      <c r="E40" s="22"/>
      <c r="F40" s="38" t="s">
        <v>22</v>
      </c>
      <c r="G40" s="38" t="s">
        <v>25</v>
      </c>
      <c r="H40" s="38" t="s">
        <v>26</v>
      </c>
      <c r="I40" s="12"/>
      <c r="J40" s="12"/>
      <c r="K40" s="12"/>
      <c r="L40" s="12"/>
      <c r="M40" s="12"/>
      <c r="N40" s="12"/>
    </row>
    <row r="41" spans="1:18" ht="15.75">
      <c r="A41" s="22"/>
      <c r="B41" s="22"/>
      <c r="C41" s="22"/>
      <c r="D41" s="22"/>
      <c r="E41" s="22"/>
      <c r="F41" s="22"/>
      <c r="G41" s="22"/>
      <c r="H41" s="22"/>
    </row>
    <row r="42" spans="1:18" ht="15.75">
      <c r="A42" s="13" t="s">
        <v>27</v>
      </c>
      <c r="B42" s="13"/>
      <c r="C42" s="13"/>
      <c r="D42" s="56">
        <v>0</v>
      </c>
      <c r="E42" s="57">
        <v>4.1000000000000003E-3</v>
      </c>
      <c r="F42" s="58">
        <f>D42*E42</f>
        <v>0</v>
      </c>
      <c r="G42" s="59"/>
      <c r="H42" s="59">
        <f>F42+G42</f>
        <v>0</v>
      </c>
      <c r="I42" s="67"/>
      <c r="J42" s="16"/>
      <c r="K42" s="16"/>
      <c r="L42" s="16"/>
      <c r="M42" s="16"/>
      <c r="N42" s="16"/>
    </row>
    <row r="43" spans="1:18" ht="15.75">
      <c r="A43" s="17"/>
      <c r="B43" s="17"/>
      <c r="C43" s="17"/>
      <c r="D43" s="60"/>
      <c r="E43" s="61"/>
      <c r="F43" s="61"/>
      <c r="G43" s="59"/>
      <c r="H43" s="59"/>
      <c r="I43" s="67"/>
    </row>
    <row r="44" spans="1:18" ht="15.75">
      <c r="A44" s="13" t="s">
        <v>28</v>
      </c>
      <c r="B44" s="13"/>
      <c r="C44" s="13"/>
      <c r="D44" s="56">
        <v>0.44359999999999999</v>
      </c>
      <c r="E44" s="57">
        <v>3.78E-2</v>
      </c>
      <c r="F44" s="58">
        <f>E44*D44</f>
        <v>1.6768080000000001E-2</v>
      </c>
      <c r="G44" s="59"/>
      <c r="H44" s="59">
        <f>F44+G44</f>
        <v>1.6768080000000001E-2</v>
      </c>
      <c r="I44" s="67"/>
      <c r="J44" s="16"/>
      <c r="K44" s="16"/>
      <c r="L44" s="16"/>
      <c r="M44" s="16"/>
      <c r="N44" s="16"/>
    </row>
    <row r="45" spans="1:18" ht="15.75">
      <c r="A45" s="17"/>
      <c r="B45" s="17"/>
      <c r="C45" s="17"/>
      <c r="D45" s="60"/>
      <c r="E45" s="61"/>
      <c r="F45" s="61"/>
      <c r="G45" s="59"/>
      <c r="H45" s="59"/>
      <c r="I45" s="67"/>
    </row>
    <row r="46" spans="1:18" ht="15.75">
      <c r="A46" s="13" t="s">
        <v>29</v>
      </c>
      <c r="B46" s="13"/>
      <c r="C46" s="13"/>
      <c r="D46" s="62">
        <v>0.55640000000000001</v>
      </c>
      <c r="E46" s="58">
        <v>0.11</v>
      </c>
      <c r="F46" s="63">
        <f>D46*E46</f>
        <v>6.1204000000000001E-2</v>
      </c>
      <c r="G46" s="59">
        <f>H46*D51</f>
        <v>3.6515144729806499E-2</v>
      </c>
      <c r="H46" s="63">
        <f>F46/(1-D51)</f>
        <v>9.7719144729806501E-2</v>
      </c>
      <c r="I46" s="58"/>
      <c r="J46" s="15"/>
      <c r="K46" s="15"/>
      <c r="L46" s="15"/>
      <c r="M46" s="15"/>
      <c r="N46" s="15"/>
    </row>
    <row r="47" spans="1:18" ht="15.75">
      <c r="A47" s="17"/>
      <c r="B47" s="17"/>
      <c r="C47" s="17"/>
      <c r="D47" s="64"/>
      <c r="E47" s="58"/>
      <c r="F47" s="14"/>
      <c r="G47" s="59"/>
      <c r="H47" s="59"/>
      <c r="I47" s="67"/>
    </row>
    <row r="48" spans="1:18" ht="16.5" thickBot="1">
      <c r="A48" s="19" t="s">
        <v>30</v>
      </c>
      <c r="B48" s="19"/>
      <c r="C48" s="19"/>
      <c r="D48" s="65">
        <f>D42+D44+D46</f>
        <v>1</v>
      </c>
      <c r="E48" s="14"/>
      <c r="F48" s="65">
        <f>F42+F44+F46</f>
        <v>7.7972079999999999E-2</v>
      </c>
      <c r="G48" s="59"/>
      <c r="H48" s="65">
        <f>H42+H44+H46</f>
        <v>0.11448722472980651</v>
      </c>
      <c r="I48" s="68"/>
      <c r="J48" s="24"/>
      <c r="K48" s="24"/>
      <c r="L48" s="24"/>
      <c r="M48" s="24"/>
      <c r="N48" s="24"/>
    </row>
    <row r="49" spans="1:8" ht="16.5" thickTop="1">
      <c r="A49" s="22"/>
      <c r="B49" s="22"/>
      <c r="C49" s="22"/>
      <c r="D49" s="22"/>
      <c r="E49" s="22"/>
      <c r="F49" s="22"/>
      <c r="G49" s="22"/>
      <c r="H49" s="22"/>
    </row>
    <row r="50" spans="1:8" ht="15.75">
      <c r="A50" s="22"/>
      <c r="B50" s="22"/>
      <c r="C50" s="22"/>
      <c r="D50" s="22"/>
      <c r="E50" s="22"/>
      <c r="F50" s="22"/>
      <c r="G50" s="22"/>
      <c r="H50" s="22"/>
    </row>
    <row r="51" spans="1:8" ht="15.75">
      <c r="A51" s="22" t="s">
        <v>31</v>
      </c>
      <c r="B51" s="22"/>
      <c r="C51" s="22"/>
      <c r="D51" s="39">
        <v>0.37367441999999995</v>
      </c>
      <c r="E51" s="22"/>
      <c r="F51" s="22"/>
      <c r="G51" s="22"/>
      <c r="H51" s="22"/>
    </row>
    <row r="54" spans="1:8">
      <c r="A54" s="2"/>
    </row>
    <row r="55" spans="1:8">
      <c r="B55" s="21"/>
      <c r="C55" s="21"/>
    </row>
    <row r="56" spans="1:8">
      <c r="B56" s="1"/>
      <c r="C56" s="1"/>
    </row>
    <row r="57" spans="1:8">
      <c r="B57" s="1"/>
      <c r="C57" s="1"/>
    </row>
  </sheetData>
  <pageMargins left="0.7" right="0.7" top="1" bottom="0.75" header="0.75" footer="0.3"/>
  <pageSetup scale="63" orientation="landscape" r:id="rId1"/>
  <headerFooter>
    <oddHeader>&amp;C&amp;"Times New Roman,Bold"&amp;14Louisville Gas and Electric Company&amp;12
Supplemental / Standby Rate Cost Support</oddHeader>
    <oddFooter>&amp;R&amp;"Times New Roman,Bold"&amp;12Conroy Exhibit M3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47"/>
  <sheetViews>
    <sheetView view="pageBreakPreview" zoomScaleNormal="100" zoomScaleSheetLayoutView="100" workbookViewId="0">
      <selection activeCell="B4" sqref="B4"/>
    </sheetView>
  </sheetViews>
  <sheetFormatPr defaultRowHeight="15.75"/>
  <cols>
    <col min="1" max="1" width="9.140625" style="51"/>
    <col min="2" max="2" width="16.85546875" style="51" bestFit="1" customWidth="1"/>
    <col min="3" max="3" width="9.140625" style="51" customWidth="1"/>
    <col min="4" max="4" width="9.140625" style="51"/>
    <col min="5" max="5" width="23.5703125" style="51" bestFit="1" customWidth="1"/>
    <col min="6" max="6" width="18.42578125" style="51" bestFit="1" customWidth="1"/>
    <col min="7" max="254" width="9.140625" style="51"/>
    <col min="255" max="255" width="26.85546875" style="51" bestFit="1" customWidth="1"/>
    <col min="256" max="256" width="16.85546875" style="51" bestFit="1" customWidth="1"/>
    <col min="257" max="257" width="9.140625" style="51" customWidth="1"/>
    <col min="258" max="258" width="9.140625" style="51"/>
    <col min="259" max="259" width="23.5703125" style="51" bestFit="1" customWidth="1"/>
    <col min="260" max="260" width="16.28515625" style="51" bestFit="1" customWidth="1"/>
    <col min="261" max="510" width="9.140625" style="51"/>
    <col min="511" max="511" width="26.85546875" style="51" bestFit="1" customWidth="1"/>
    <col min="512" max="512" width="16.85546875" style="51" bestFit="1" customWidth="1"/>
    <col min="513" max="513" width="9.140625" style="51" customWidth="1"/>
    <col min="514" max="514" width="9.140625" style="51"/>
    <col min="515" max="515" width="23.5703125" style="51" bestFit="1" customWidth="1"/>
    <col min="516" max="516" width="16.28515625" style="51" bestFit="1" customWidth="1"/>
    <col min="517" max="766" width="9.140625" style="51"/>
    <col min="767" max="767" width="26.85546875" style="51" bestFit="1" customWidth="1"/>
    <col min="768" max="768" width="16.85546875" style="51" bestFit="1" customWidth="1"/>
    <col min="769" max="769" width="9.140625" style="51" customWidth="1"/>
    <col min="770" max="770" width="9.140625" style="51"/>
    <col min="771" max="771" width="23.5703125" style="51" bestFit="1" customWidth="1"/>
    <col min="772" max="772" width="16.28515625" style="51" bestFit="1" customWidth="1"/>
    <col min="773" max="1022" width="9.140625" style="51"/>
    <col min="1023" max="1023" width="26.85546875" style="51" bestFit="1" customWidth="1"/>
    <col min="1024" max="1024" width="16.85546875" style="51" bestFit="1" customWidth="1"/>
    <col min="1025" max="1025" width="9.140625" style="51" customWidth="1"/>
    <col min="1026" max="1026" width="9.140625" style="51"/>
    <col min="1027" max="1027" width="23.5703125" style="51" bestFit="1" customWidth="1"/>
    <col min="1028" max="1028" width="16.28515625" style="51" bestFit="1" customWidth="1"/>
    <col min="1029" max="1278" width="9.140625" style="51"/>
    <col min="1279" max="1279" width="26.85546875" style="51" bestFit="1" customWidth="1"/>
    <col min="1280" max="1280" width="16.85546875" style="51" bestFit="1" customWidth="1"/>
    <col min="1281" max="1281" width="9.140625" style="51" customWidth="1"/>
    <col min="1282" max="1282" width="9.140625" style="51"/>
    <col min="1283" max="1283" width="23.5703125" style="51" bestFit="1" customWidth="1"/>
    <col min="1284" max="1284" width="16.28515625" style="51" bestFit="1" customWidth="1"/>
    <col min="1285" max="1534" width="9.140625" style="51"/>
    <col min="1535" max="1535" width="26.85546875" style="51" bestFit="1" customWidth="1"/>
    <col min="1536" max="1536" width="16.85546875" style="51" bestFit="1" customWidth="1"/>
    <col min="1537" max="1537" width="9.140625" style="51" customWidth="1"/>
    <col min="1538" max="1538" width="9.140625" style="51"/>
    <col min="1539" max="1539" width="23.5703125" style="51" bestFit="1" customWidth="1"/>
    <col min="1540" max="1540" width="16.28515625" style="51" bestFit="1" customWidth="1"/>
    <col min="1541" max="1790" width="9.140625" style="51"/>
    <col min="1791" max="1791" width="26.85546875" style="51" bestFit="1" customWidth="1"/>
    <col min="1792" max="1792" width="16.85546875" style="51" bestFit="1" customWidth="1"/>
    <col min="1793" max="1793" width="9.140625" style="51" customWidth="1"/>
    <col min="1794" max="1794" width="9.140625" style="51"/>
    <col min="1795" max="1795" width="23.5703125" style="51" bestFit="1" customWidth="1"/>
    <col min="1796" max="1796" width="16.28515625" style="51" bestFit="1" customWidth="1"/>
    <col min="1797" max="2046" width="9.140625" style="51"/>
    <col min="2047" max="2047" width="26.85546875" style="51" bestFit="1" customWidth="1"/>
    <col min="2048" max="2048" width="16.85546875" style="51" bestFit="1" customWidth="1"/>
    <col min="2049" max="2049" width="9.140625" style="51" customWidth="1"/>
    <col min="2050" max="2050" width="9.140625" style="51"/>
    <col min="2051" max="2051" width="23.5703125" style="51" bestFit="1" customWidth="1"/>
    <col min="2052" max="2052" width="16.28515625" style="51" bestFit="1" customWidth="1"/>
    <col min="2053" max="2302" width="9.140625" style="51"/>
    <col min="2303" max="2303" width="26.85546875" style="51" bestFit="1" customWidth="1"/>
    <col min="2304" max="2304" width="16.85546875" style="51" bestFit="1" customWidth="1"/>
    <col min="2305" max="2305" width="9.140625" style="51" customWidth="1"/>
    <col min="2306" max="2306" width="9.140625" style="51"/>
    <col min="2307" max="2307" width="23.5703125" style="51" bestFit="1" customWidth="1"/>
    <col min="2308" max="2308" width="16.28515625" style="51" bestFit="1" customWidth="1"/>
    <col min="2309" max="2558" width="9.140625" style="51"/>
    <col min="2559" max="2559" width="26.85546875" style="51" bestFit="1" customWidth="1"/>
    <col min="2560" max="2560" width="16.85546875" style="51" bestFit="1" customWidth="1"/>
    <col min="2561" max="2561" width="9.140625" style="51" customWidth="1"/>
    <col min="2562" max="2562" width="9.140625" style="51"/>
    <col min="2563" max="2563" width="23.5703125" style="51" bestFit="1" customWidth="1"/>
    <col min="2564" max="2564" width="16.28515625" style="51" bestFit="1" customWidth="1"/>
    <col min="2565" max="2814" width="9.140625" style="51"/>
    <col min="2815" max="2815" width="26.85546875" style="51" bestFit="1" customWidth="1"/>
    <col min="2816" max="2816" width="16.85546875" style="51" bestFit="1" customWidth="1"/>
    <col min="2817" max="2817" width="9.140625" style="51" customWidth="1"/>
    <col min="2818" max="2818" width="9.140625" style="51"/>
    <col min="2819" max="2819" width="23.5703125" style="51" bestFit="1" customWidth="1"/>
    <col min="2820" max="2820" width="16.28515625" style="51" bestFit="1" customWidth="1"/>
    <col min="2821" max="3070" width="9.140625" style="51"/>
    <col min="3071" max="3071" width="26.85546875" style="51" bestFit="1" customWidth="1"/>
    <col min="3072" max="3072" width="16.85546875" style="51" bestFit="1" customWidth="1"/>
    <col min="3073" max="3073" width="9.140625" style="51" customWidth="1"/>
    <col min="3074" max="3074" width="9.140625" style="51"/>
    <col min="3075" max="3075" width="23.5703125" style="51" bestFit="1" customWidth="1"/>
    <col min="3076" max="3076" width="16.28515625" style="51" bestFit="1" customWidth="1"/>
    <col min="3077" max="3326" width="9.140625" style="51"/>
    <col min="3327" max="3327" width="26.85546875" style="51" bestFit="1" customWidth="1"/>
    <col min="3328" max="3328" width="16.85546875" style="51" bestFit="1" customWidth="1"/>
    <col min="3329" max="3329" width="9.140625" style="51" customWidth="1"/>
    <col min="3330" max="3330" width="9.140625" style="51"/>
    <col min="3331" max="3331" width="23.5703125" style="51" bestFit="1" customWidth="1"/>
    <col min="3332" max="3332" width="16.28515625" style="51" bestFit="1" customWidth="1"/>
    <col min="3333" max="3582" width="9.140625" style="51"/>
    <col min="3583" max="3583" width="26.85546875" style="51" bestFit="1" customWidth="1"/>
    <col min="3584" max="3584" width="16.85546875" style="51" bestFit="1" customWidth="1"/>
    <col min="3585" max="3585" width="9.140625" style="51" customWidth="1"/>
    <col min="3586" max="3586" width="9.140625" style="51"/>
    <col min="3587" max="3587" width="23.5703125" style="51" bestFit="1" customWidth="1"/>
    <col min="3588" max="3588" width="16.28515625" style="51" bestFit="1" customWidth="1"/>
    <col min="3589" max="3838" width="9.140625" style="51"/>
    <col min="3839" max="3839" width="26.85546875" style="51" bestFit="1" customWidth="1"/>
    <col min="3840" max="3840" width="16.85546875" style="51" bestFit="1" customWidth="1"/>
    <col min="3841" max="3841" width="9.140625" style="51" customWidth="1"/>
    <col min="3842" max="3842" width="9.140625" style="51"/>
    <col min="3843" max="3843" width="23.5703125" style="51" bestFit="1" customWidth="1"/>
    <col min="3844" max="3844" width="16.28515625" style="51" bestFit="1" customWidth="1"/>
    <col min="3845" max="4094" width="9.140625" style="51"/>
    <col min="4095" max="4095" width="26.85546875" style="51" bestFit="1" customWidth="1"/>
    <col min="4096" max="4096" width="16.85546875" style="51" bestFit="1" customWidth="1"/>
    <col min="4097" max="4097" width="9.140625" style="51" customWidth="1"/>
    <col min="4098" max="4098" width="9.140625" style="51"/>
    <col min="4099" max="4099" width="23.5703125" style="51" bestFit="1" customWidth="1"/>
    <col min="4100" max="4100" width="16.28515625" style="51" bestFit="1" customWidth="1"/>
    <col min="4101" max="4350" width="9.140625" style="51"/>
    <col min="4351" max="4351" width="26.85546875" style="51" bestFit="1" customWidth="1"/>
    <col min="4352" max="4352" width="16.85546875" style="51" bestFit="1" customWidth="1"/>
    <col min="4353" max="4353" width="9.140625" style="51" customWidth="1"/>
    <col min="4354" max="4354" width="9.140625" style="51"/>
    <col min="4355" max="4355" width="23.5703125" style="51" bestFit="1" customWidth="1"/>
    <col min="4356" max="4356" width="16.28515625" style="51" bestFit="1" customWidth="1"/>
    <col min="4357" max="4606" width="9.140625" style="51"/>
    <col min="4607" max="4607" width="26.85546875" style="51" bestFit="1" customWidth="1"/>
    <col min="4608" max="4608" width="16.85546875" style="51" bestFit="1" customWidth="1"/>
    <col min="4609" max="4609" width="9.140625" style="51" customWidth="1"/>
    <col min="4610" max="4610" width="9.140625" style="51"/>
    <col min="4611" max="4611" width="23.5703125" style="51" bestFit="1" customWidth="1"/>
    <col min="4612" max="4612" width="16.28515625" style="51" bestFit="1" customWidth="1"/>
    <col min="4613" max="4862" width="9.140625" style="51"/>
    <col min="4863" max="4863" width="26.85546875" style="51" bestFit="1" customWidth="1"/>
    <col min="4864" max="4864" width="16.85546875" style="51" bestFit="1" customWidth="1"/>
    <col min="4865" max="4865" width="9.140625" style="51" customWidth="1"/>
    <col min="4866" max="4866" width="9.140625" style="51"/>
    <col min="4867" max="4867" width="23.5703125" style="51" bestFit="1" customWidth="1"/>
    <col min="4868" max="4868" width="16.28515625" style="51" bestFit="1" customWidth="1"/>
    <col min="4869" max="5118" width="9.140625" style="51"/>
    <col min="5119" max="5119" width="26.85546875" style="51" bestFit="1" customWidth="1"/>
    <col min="5120" max="5120" width="16.85546875" style="51" bestFit="1" customWidth="1"/>
    <col min="5121" max="5121" width="9.140625" style="51" customWidth="1"/>
    <col min="5122" max="5122" width="9.140625" style="51"/>
    <col min="5123" max="5123" width="23.5703125" style="51" bestFit="1" customWidth="1"/>
    <col min="5124" max="5124" width="16.28515625" style="51" bestFit="1" customWidth="1"/>
    <col min="5125" max="5374" width="9.140625" style="51"/>
    <col min="5375" max="5375" width="26.85546875" style="51" bestFit="1" customWidth="1"/>
    <col min="5376" max="5376" width="16.85546875" style="51" bestFit="1" customWidth="1"/>
    <col min="5377" max="5377" width="9.140625" style="51" customWidth="1"/>
    <col min="5378" max="5378" width="9.140625" style="51"/>
    <col min="5379" max="5379" width="23.5703125" style="51" bestFit="1" customWidth="1"/>
    <col min="5380" max="5380" width="16.28515625" style="51" bestFit="1" customWidth="1"/>
    <col min="5381" max="5630" width="9.140625" style="51"/>
    <col min="5631" max="5631" width="26.85546875" style="51" bestFit="1" customWidth="1"/>
    <col min="5632" max="5632" width="16.85546875" style="51" bestFit="1" customWidth="1"/>
    <col min="5633" max="5633" width="9.140625" style="51" customWidth="1"/>
    <col min="5634" max="5634" width="9.140625" style="51"/>
    <col min="5635" max="5635" width="23.5703125" style="51" bestFit="1" customWidth="1"/>
    <col min="5636" max="5636" width="16.28515625" style="51" bestFit="1" customWidth="1"/>
    <col min="5637" max="5886" width="9.140625" style="51"/>
    <col min="5887" max="5887" width="26.85546875" style="51" bestFit="1" customWidth="1"/>
    <col min="5888" max="5888" width="16.85546875" style="51" bestFit="1" customWidth="1"/>
    <col min="5889" max="5889" width="9.140625" style="51" customWidth="1"/>
    <col min="5890" max="5890" width="9.140625" style="51"/>
    <col min="5891" max="5891" width="23.5703125" style="51" bestFit="1" customWidth="1"/>
    <col min="5892" max="5892" width="16.28515625" style="51" bestFit="1" customWidth="1"/>
    <col min="5893" max="6142" width="9.140625" style="51"/>
    <col min="6143" max="6143" width="26.85546875" style="51" bestFit="1" customWidth="1"/>
    <col min="6144" max="6144" width="16.85546875" style="51" bestFit="1" customWidth="1"/>
    <col min="6145" max="6145" width="9.140625" style="51" customWidth="1"/>
    <col min="6146" max="6146" width="9.140625" style="51"/>
    <col min="6147" max="6147" width="23.5703125" style="51" bestFit="1" customWidth="1"/>
    <col min="6148" max="6148" width="16.28515625" style="51" bestFit="1" customWidth="1"/>
    <col min="6149" max="6398" width="9.140625" style="51"/>
    <col min="6399" max="6399" width="26.85546875" style="51" bestFit="1" customWidth="1"/>
    <col min="6400" max="6400" width="16.85546875" style="51" bestFit="1" customWidth="1"/>
    <col min="6401" max="6401" width="9.140625" style="51" customWidth="1"/>
    <col min="6402" max="6402" width="9.140625" style="51"/>
    <col min="6403" max="6403" width="23.5703125" style="51" bestFit="1" customWidth="1"/>
    <col min="6404" max="6404" width="16.28515625" style="51" bestFit="1" customWidth="1"/>
    <col min="6405" max="6654" width="9.140625" style="51"/>
    <col min="6655" max="6655" width="26.85546875" style="51" bestFit="1" customWidth="1"/>
    <col min="6656" max="6656" width="16.85546875" style="51" bestFit="1" customWidth="1"/>
    <col min="6657" max="6657" width="9.140625" style="51" customWidth="1"/>
    <col min="6658" max="6658" width="9.140625" style="51"/>
    <col min="6659" max="6659" width="23.5703125" style="51" bestFit="1" customWidth="1"/>
    <col min="6660" max="6660" width="16.28515625" style="51" bestFit="1" customWidth="1"/>
    <col min="6661" max="6910" width="9.140625" style="51"/>
    <col min="6911" max="6911" width="26.85546875" style="51" bestFit="1" customWidth="1"/>
    <col min="6912" max="6912" width="16.85546875" style="51" bestFit="1" customWidth="1"/>
    <col min="6913" max="6913" width="9.140625" style="51" customWidth="1"/>
    <col min="6914" max="6914" width="9.140625" style="51"/>
    <col min="6915" max="6915" width="23.5703125" style="51" bestFit="1" customWidth="1"/>
    <col min="6916" max="6916" width="16.28515625" style="51" bestFit="1" customWidth="1"/>
    <col min="6917" max="7166" width="9.140625" style="51"/>
    <col min="7167" max="7167" width="26.85546875" style="51" bestFit="1" customWidth="1"/>
    <col min="7168" max="7168" width="16.85546875" style="51" bestFit="1" customWidth="1"/>
    <col min="7169" max="7169" width="9.140625" style="51" customWidth="1"/>
    <col min="7170" max="7170" width="9.140625" style="51"/>
    <col min="7171" max="7171" width="23.5703125" style="51" bestFit="1" customWidth="1"/>
    <col min="7172" max="7172" width="16.28515625" style="51" bestFit="1" customWidth="1"/>
    <col min="7173" max="7422" width="9.140625" style="51"/>
    <col min="7423" max="7423" width="26.85546875" style="51" bestFit="1" customWidth="1"/>
    <col min="7424" max="7424" width="16.85546875" style="51" bestFit="1" customWidth="1"/>
    <col min="7425" max="7425" width="9.140625" style="51" customWidth="1"/>
    <col min="7426" max="7426" width="9.140625" style="51"/>
    <col min="7427" max="7427" width="23.5703125" style="51" bestFit="1" customWidth="1"/>
    <col min="7428" max="7428" width="16.28515625" style="51" bestFit="1" customWidth="1"/>
    <col min="7429" max="7678" width="9.140625" style="51"/>
    <col min="7679" max="7679" width="26.85546875" style="51" bestFit="1" customWidth="1"/>
    <col min="7680" max="7680" width="16.85546875" style="51" bestFit="1" customWidth="1"/>
    <col min="7681" max="7681" width="9.140625" style="51" customWidth="1"/>
    <col min="7682" max="7682" width="9.140625" style="51"/>
    <col min="7683" max="7683" width="23.5703125" style="51" bestFit="1" customWidth="1"/>
    <col min="7684" max="7684" width="16.28515625" style="51" bestFit="1" customWidth="1"/>
    <col min="7685" max="7934" width="9.140625" style="51"/>
    <col min="7935" max="7935" width="26.85546875" style="51" bestFit="1" customWidth="1"/>
    <col min="7936" max="7936" width="16.85546875" style="51" bestFit="1" customWidth="1"/>
    <col min="7937" max="7937" width="9.140625" style="51" customWidth="1"/>
    <col min="7938" max="7938" width="9.140625" style="51"/>
    <col min="7939" max="7939" width="23.5703125" style="51" bestFit="1" customWidth="1"/>
    <col min="7940" max="7940" width="16.28515625" style="51" bestFit="1" customWidth="1"/>
    <col min="7941" max="8190" width="9.140625" style="51"/>
    <col min="8191" max="8191" width="26.85546875" style="51" bestFit="1" customWidth="1"/>
    <col min="8192" max="8192" width="16.85546875" style="51" bestFit="1" customWidth="1"/>
    <col min="8193" max="8193" width="9.140625" style="51" customWidth="1"/>
    <col min="8194" max="8194" width="9.140625" style="51"/>
    <col min="8195" max="8195" width="23.5703125" style="51" bestFit="1" customWidth="1"/>
    <col min="8196" max="8196" width="16.28515625" style="51" bestFit="1" customWidth="1"/>
    <col min="8197" max="8446" width="9.140625" style="51"/>
    <col min="8447" max="8447" width="26.85546875" style="51" bestFit="1" customWidth="1"/>
    <col min="8448" max="8448" width="16.85546875" style="51" bestFit="1" customWidth="1"/>
    <col min="8449" max="8449" width="9.140625" style="51" customWidth="1"/>
    <col min="8450" max="8450" width="9.140625" style="51"/>
    <col min="8451" max="8451" width="23.5703125" style="51" bestFit="1" customWidth="1"/>
    <col min="8452" max="8452" width="16.28515625" style="51" bestFit="1" customWidth="1"/>
    <col min="8453" max="8702" width="9.140625" style="51"/>
    <col min="8703" max="8703" width="26.85546875" style="51" bestFit="1" customWidth="1"/>
    <col min="8704" max="8704" width="16.85546875" style="51" bestFit="1" customWidth="1"/>
    <col min="8705" max="8705" width="9.140625" style="51" customWidth="1"/>
    <col min="8706" max="8706" width="9.140625" style="51"/>
    <col min="8707" max="8707" width="23.5703125" style="51" bestFit="1" customWidth="1"/>
    <col min="8708" max="8708" width="16.28515625" style="51" bestFit="1" customWidth="1"/>
    <col min="8709" max="8958" width="9.140625" style="51"/>
    <col min="8959" max="8959" width="26.85546875" style="51" bestFit="1" customWidth="1"/>
    <col min="8960" max="8960" width="16.85546875" style="51" bestFit="1" customWidth="1"/>
    <col min="8961" max="8961" width="9.140625" style="51" customWidth="1"/>
    <col min="8962" max="8962" width="9.140625" style="51"/>
    <col min="8963" max="8963" width="23.5703125" style="51" bestFit="1" customWidth="1"/>
    <col min="8964" max="8964" width="16.28515625" style="51" bestFit="1" customWidth="1"/>
    <col min="8965" max="9214" width="9.140625" style="51"/>
    <col min="9215" max="9215" width="26.85546875" style="51" bestFit="1" customWidth="1"/>
    <col min="9216" max="9216" width="16.85546875" style="51" bestFit="1" customWidth="1"/>
    <col min="9217" max="9217" width="9.140625" style="51" customWidth="1"/>
    <col min="9218" max="9218" width="9.140625" style="51"/>
    <col min="9219" max="9219" width="23.5703125" style="51" bestFit="1" customWidth="1"/>
    <col min="9220" max="9220" width="16.28515625" style="51" bestFit="1" customWidth="1"/>
    <col min="9221" max="9470" width="9.140625" style="51"/>
    <col min="9471" max="9471" width="26.85546875" style="51" bestFit="1" customWidth="1"/>
    <col min="9472" max="9472" width="16.85546875" style="51" bestFit="1" customWidth="1"/>
    <col min="9473" max="9473" width="9.140625" style="51" customWidth="1"/>
    <col min="9474" max="9474" width="9.140625" style="51"/>
    <col min="9475" max="9475" width="23.5703125" style="51" bestFit="1" customWidth="1"/>
    <col min="9476" max="9476" width="16.28515625" style="51" bestFit="1" customWidth="1"/>
    <col min="9477" max="9726" width="9.140625" style="51"/>
    <col min="9727" max="9727" width="26.85546875" style="51" bestFit="1" customWidth="1"/>
    <col min="9728" max="9728" width="16.85546875" style="51" bestFit="1" customWidth="1"/>
    <col min="9729" max="9729" width="9.140625" style="51" customWidth="1"/>
    <col min="9730" max="9730" width="9.140625" style="51"/>
    <col min="9731" max="9731" width="23.5703125" style="51" bestFit="1" customWidth="1"/>
    <col min="9732" max="9732" width="16.28515625" style="51" bestFit="1" customWidth="1"/>
    <col min="9733" max="9982" width="9.140625" style="51"/>
    <col min="9983" max="9983" width="26.85546875" style="51" bestFit="1" customWidth="1"/>
    <col min="9984" max="9984" width="16.85546875" style="51" bestFit="1" customWidth="1"/>
    <col min="9985" max="9985" width="9.140625" style="51" customWidth="1"/>
    <col min="9986" max="9986" width="9.140625" style="51"/>
    <col min="9987" max="9987" width="23.5703125" style="51" bestFit="1" customWidth="1"/>
    <col min="9988" max="9988" width="16.28515625" style="51" bestFit="1" customWidth="1"/>
    <col min="9989" max="10238" width="9.140625" style="51"/>
    <col min="10239" max="10239" width="26.85546875" style="51" bestFit="1" customWidth="1"/>
    <col min="10240" max="10240" width="16.85546875" style="51" bestFit="1" customWidth="1"/>
    <col min="10241" max="10241" width="9.140625" style="51" customWidth="1"/>
    <col min="10242" max="10242" width="9.140625" style="51"/>
    <col min="10243" max="10243" width="23.5703125" style="51" bestFit="1" customWidth="1"/>
    <col min="10244" max="10244" width="16.28515625" style="51" bestFit="1" customWidth="1"/>
    <col min="10245" max="10494" width="9.140625" style="51"/>
    <col min="10495" max="10495" width="26.85546875" style="51" bestFit="1" customWidth="1"/>
    <col min="10496" max="10496" width="16.85546875" style="51" bestFit="1" customWidth="1"/>
    <col min="10497" max="10497" width="9.140625" style="51" customWidth="1"/>
    <col min="10498" max="10498" width="9.140625" style="51"/>
    <col min="10499" max="10499" width="23.5703125" style="51" bestFit="1" customWidth="1"/>
    <col min="10500" max="10500" width="16.28515625" style="51" bestFit="1" customWidth="1"/>
    <col min="10501" max="10750" width="9.140625" style="51"/>
    <col min="10751" max="10751" width="26.85546875" style="51" bestFit="1" customWidth="1"/>
    <col min="10752" max="10752" width="16.85546875" style="51" bestFit="1" customWidth="1"/>
    <col min="10753" max="10753" width="9.140625" style="51" customWidth="1"/>
    <col min="10754" max="10754" width="9.140625" style="51"/>
    <col min="10755" max="10755" width="23.5703125" style="51" bestFit="1" customWidth="1"/>
    <col min="10756" max="10756" width="16.28515625" style="51" bestFit="1" customWidth="1"/>
    <col min="10757" max="11006" width="9.140625" style="51"/>
    <col min="11007" max="11007" width="26.85546875" style="51" bestFit="1" customWidth="1"/>
    <col min="11008" max="11008" width="16.85546875" style="51" bestFit="1" customWidth="1"/>
    <col min="11009" max="11009" width="9.140625" style="51" customWidth="1"/>
    <col min="11010" max="11010" width="9.140625" style="51"/>
    <col min="11011" max="11011" width="23.5703125" style="51" bestFit="1" customWidth="1"/>
    <col min="11012" max="11012" width="16.28515625" style="51" bestFit="1" customWidth="1"/>
    <col min="11013" max="11262" width="9.140625" style="51"/>
    <col min="11263" max="11263" width="26.85546875" style="51" bestFit="1" customWidth="1"/>
    <col min="11264" max="11264" width="16.85546875" style="51" bestFit="1" customWidth="1"/>
    <col min="11265" max="11265" width="9.140625" style="51" customWidth="1"/>
    <col min="11266" max="11266" width="9.140625" style="51"/>
    <col min="11267" max="11267" width="23.5703125" style="51" bestFit="1" customWidth="1"/>
    <col min="11268" max="11268" width="16.28515625" style="51" bestFit="1" customWidth="1"/>
    <col min="11269" max="11518" width="9.140625" style="51"/>
    <col min="11519" max="11519" width="26.85546875" style="51" bestFit="1" customWidth="1"/>
    <col min="11520" max="11520" width="16.85546875" style="51" bestFit="1" customWidth="1"/>
    <col min="11521" max="11521" width="9.140625" style="51" customWidth="1"/>
    <col min="11522" max="11522" width="9.140625" style="51"/>
    <col min="11523" max="11523" width="23.5703125" style="51" bestFit="1" customWidth="1"/>
    <col min="11524" max="11524" width="16.28515625" style="51" bestFit="1" customWidth="1"/>
    <col min="11525" max="11774" width="9.140625" style="51"/>
    <col min="11775" max="11775" width="26.85546875" style="51" bestFit="1" customWidth="1"/>
    <col min="11776" max="11776" width="16.85546875" style="51" bestFit="1" customWidth="1"/>
    <col min="11777" max="11777" width="9.140625" style="51" customWidth="1"/>
    <col min="11778" max="11778" width="9.140625" style="51"/>
    <col min="11779" max="11779" width="23.5703125" style="51" bestFit="1" customWidth="1"/>
    <col min="11780" max="11780" width="16.28515625" style="51" bestFit="1" customWidth="1"/>
    <col min="11781" max="12030" width="9.140625" style="51"/>
    <col min="12031" max="12031" width="26.85546875" style="51" bestFit="1" customWidth="1"/>
    <col min="12032" max="12032" width="16.85546875" style="51" bestFit="1" customWidth="1"/>
    <col min="12033" max="12033" width="9.140625" style="51" customWidth="1"/>
    <col min="12034" max="12034" width="9.140625" style="51"/>
    <col min="12035" max="12035" width="23.5703125" style="51" bestFit="1" customWidth="1"/>
    <col min="12036" max="12036" width="16.28515625" style="51" bestFit="1" customWidth="1"/>
    <col min="12037" max="12286" width="9.140625" style="51"/>
    <col min="12287" max="12287" width="26.85546875" style="51" bestFit="1" customWidth="1"/>
    <col min="12288" max="12288" width="16.85546875" style="51" bestFit="1" customWidth="1"/>
    <col min="12289" max="12289" width="9.140625" style="51" customWidth="1"/>
    <col min="12290" max="12290" width="9.140625" style="51"/>
    <col min="12291" max="12291" width="23.5703125" style="51" bestFit="1" customWidth="1"/>
    <col min="12292" max="12292" width="16.28515625" style="51" bestFit="1" customWidth="1"/>
    <col min="12293" max="12542" width="9.140625" style="51"/>
    <col min="12543" max="12543" width="26.85546875" style="51" bestFit="1" customWidth="1"/>
    <col min="12544" max="12544" width="16.85546875" style="51" bestFit="1" customWidth="1"/>
    <col min="12545" max="12545" width="9.140625" style="51" customWidth="1"/>
    <col min="12546" max="12546" width="9.140625" style="51"/>
    <col min="12547" max="12547" width="23.5703125" style="51" bestFit="1" customWidth="1"/>
    <col min="12548" max="12548" width="16.28515625" style="51" bestFit="1" customWidth="1"/>
    <col min="12549" max="12798" width="9.140625" style="51"/>
    <col min="12799" max="12799" width="26.85546875" style="51" bestFit="1" customWidth="1"/>
    <col min="12800" max="12800" width="16.85546875" style="51" bestFit="1" customWidth="1"/>
    <col min="12801" max="12801" width="9.140625" style="51" customWidth="1"/>
    <col min="12802" max="12802" width="9.140625" style="51"/>
    <col min="12803" max="12803" width="23.5703125" style="51" bestFit="1" customWidth="1"/>
    <col min="12804" max="12804" width="16.28515625" style="51" bestFit="1" customWidth="1"/>
    <col min="12805" max="13054" width="9.140625" style="51"/>
    <col min="13055" max="13055" width="26.85546875" style="51" bestFit="1" customWidth="1"/>
    <col min="13056" max="13056" width="16.85546875" style="51" bestFit="1" customWidth="1"/>
    <col min="13057" max="13057" width="9.140625" style="51" customWidth="1"/>
    <col min="13058" max="13058" width="9.140625" style="51"/>
    <col min="13059" max="13059" width="23.5703125" style="51" bestFit="1" customWidth="1"/>
    <col min="13060" max="13060" width="16.28515625" style="51" bestFit="1" customWidth="1"/>
    <col min="13061" max="13310" width="9.140625" style="51"/>
    <col min="13311" max="13311" width="26.85546875" style="51" bestFit="1" customWidth="1"/>
    <col min="13312" max="13312" width="16.85546875" style="51" bestFit="1" customWidth="1"/>
    <col min="13313" max="13313" width="9.140625" style="51" customWidth="1"/>
    <col min="13314" max="13314" width="9.140625" style="51"/>
    <col min="13315" max="13315" width="23.5703125" style="51" bestFit="1" customWidth="1"/>
    <col min="13316" max="13316" width="16.28515625" style="51" bestFit="1" customWidth="1"/>
    <col min="13317" max="13566" width="9.140625" style="51"/>
    <col min="13567" max="13567" width="26.85546875" style="51" bestFit="1" customWidth="1"/>
    <col min="13568" max="13568" width="16.85546875" style="51" bestFit="1" customWidth="1"/>
    <col min="13569" max="13569" width="9.140625" style="51" customWidth="1"/>
    <col min="13570" max="13570" width="9.140625" style="51"/>
    <col min="13571" max="13571" width="23.5703125" style="51" bestFit="1" customWidth="1"/>
    <col min="13572" max="13572" width="16.28515625" style="51" bestFit="1" customWidth="1"/>
    <col min="13573" max="13822" width="9.140625" style="51"/>
    <col min="13823" max="13823" width="26.85546875" style="51" bestFit="1" customWidth="1"/>
    <col min="13824" max="13824" width="16.85546875" style="51" bestFit="1" customWidth="1"/>
    <col min="13825" max="13825" width="9.140625" style="51" customWidth="1"/>
    <col min="13826" max="13826" width="9.140625" style="51"/>
    <col min="13827" max="13827" width="23.5703125" style="51" bestFit="1" customWidth="1"/>
    <col min="13828" max="13828" width="16.28515625" style="51" bestFit="1" customWidth="1"/>
    <col min="13829" max="14078" width="9.140625" style="51"/>
    <col min="14079" max="14079" width="26.85546875" style="51" bestFit="1" customWidth="1"/>
    <col min="14080" max="14080" width="16.85546875" style="51" bestFit="1" customWidth="1"/>
    <col min="14081" max="14081" width="9.140625" style="51" customWidth="1"/>
    <col min="14082" max="14082" width="9.140625" style="51"/>
    <col min="14083" max="14083" width="23.5703125" style="51" bestFit="1" customWidth="1"/>
    <col min="14084" max="14084" width="16.28515625" style="51" bestFit="1" customWidth="1"/>
    <col min="14085" max="14334" width="9.140625" style="51"/>
    <col min="14335" max="14335" width="26.85546875" style="51" bestFit="1" customWidth="1"/>
    <col min="14336" max="14336" width="16.85546875" style="51" bestFit="1" customWidth="1"/>
    <col min="14337" max="14337" width="9.140625" style="51" customWidth="1"/>
    <col min="14338" max="14338" width="9.140625" style="51"/>
    <col min="14339" max="14339" width="23.5703125" style="51" bestFit="1" customWidth="1"/>
    <col min="14340" max="14340" width="16.28515625" style="51" bestFit="1" customWidth="1"/>
    <col min="14341" max="14590" width="9.140625" style="51"/>
    <col min="14591" max="14591" width="26.85546875" style="51" bestFit="1" customWidth="1"/>
    <col min="14592" max="14592" width="16.85546875" style="51" bestFit="1" customWidth="1"/>
    <col min="14593" max="14593" width="9.140625" style="51" customWidth="1"/>
    <col min="14594" max="14594" width="9.140625" style="51"/>
    <col min="14595" max="14595" width="23.5703125" style="51" bestFit="1" customWidth="1"/>
    <col min="14596" max="14596" width="16.28515625" style="51" bestFit="1" customWidth="1"/>
    <col min="14597" max="14846" width="9.140625" style="51"/>
    <col min="14847" max="14847" width="26.85546875" style="51" bestFit="1" customWidth="1"/>
    <col min="14848" max="14848" width="16.85546875" style="51" bestFit="1" customWidth="1"/>
    <col min="14849" max="14849" width="9.140625" style="51" customWidth="1"/>
    <col min="14850" max="14850" width="9.140625" style="51"/>
    <col min="14851" max="14851" width="23.5703125" style="51" bestFit="1" customWidth="1"/>
    <col min="14852" max="14852" width="16.28515625" style="51" bestFit="1" customWidth="1"/>
    <col min="14853" max="15102" width="9.140625" style="51"/>
    <col min="15103" max="15103" width="26.85546875" style="51" bestFit="1" customWidth="1"/>
    <col min="15104" max="15104" width="16.85546875" style="51" bestFit="1" customWidth="1"/>
    <col min="15105" max="15105" width="9.140625" style="51" customWidth="1"/>
    <col min="15106" max="15106" width="9.140625" style="51"/>
    <col min="15107" max="15107" width="23.5703125" style="51" bestFit="1" customWidth="1"/>
    <col min="15108" max="15108" width="16.28515625" style="51" bestFit="1" customWidth="1"/>
    <col min="15109" max="15358" width="9.140625" style="51"/>
    <col min="15359" max="15359" width="26.85546875" style="51" bestFit="1" customWidth="1"/>
    <col min="15360" max="15360" width="16.85546875" style="51" bestFit="1" customWidth="1"/>
    <col min="15361" max="15361" width="9.140625" style="51" customWidth="1"/>
    <col min="15362" max="15362" width="9.140625" style="51"/>
    <col min="15363" max="15363" width="23.5703125" style="51" bestFit="1" customWidth="1"/>
    <col min="15364" max="15364" width="16.28515625" style="51" bestFit="1" customWidth="1"/>
    <col min="15365" max="15614" width="9.140625" style="51"/>
    <col min="15615" max="15615" width="26.85546875" style="51" bestFit="1" customWidth="1"/>
    <col min="15616" max="15616" width="16.85546875" style="51" bestFit="1" customWidth="1"/>
    <col min="15617" max="15617" width="9.140625" style="51" customWidth="1"/>
    <col min="15618" max="15618" width="9.140625" style="51"/>
    <col min="15619" max="15619" width="23.5703125" style="51" bestFit="1" customWidth="1"/>
    <col min="15620" max="15620" width="16.28515625" style="51" bestFit="1" customWidth="1"/>
    <col min="15621" max="15870" width="9.140625" style="51"/>
    <col min="15871" max="15871" width="26.85546875" style="51" bestFit="1" customWidth="1"/>
    <col min="15872" max="15872" width="16.85546875" style="51" bestFit="1" customWidth="1"/>
    <col min="15873" max="15873" width="9.140625" style="51" customWidth="1"/>
    <col min="15874" max="15874" width="9.140625" style="51"/>
    <col min="15875" max="15875" width="23.5703125" style="51" bestFit="1" customWidth="1"/>
    <col min="15876" max="15876" width="16.28515625" style="51" bestFit="1" customWidth="1"/>
    <col min="15877" max="16126" width="9.140625" style="51"/>
    <col min="16127" max="16127" width="26.85546875" style="51" bestFit="1" customWidth="1"/>
    <col min="16128" max="16128" width="16.85546875" style="51" bestFit="1" customWidth="1"/>
    <col min="16129" max="16129" width="9.140625" style="51" customWidth="1"/>
    <col min="16130" max="16130" width="9.140625" style="51"/>
    <col min="16131" max="16131" width="23.5703125" style="51" bestFit="1" customWidth="1"/>
    <col min="16132" max="16132" width="16.28515625" style="51" bestFit="1" customWidth="1"/>
    <col min="16133" max="16384" width="9.140625" style="51"/>
  </cols>
  <sheetData>
    <row r="2" spans="2:6">
      <c r="B2" s="69" t="s">
        <v>71</v>
      </c>
      <c r="C2" s="69"/>
      <c r="D2" s="69"/>
      <c r="E2" s="69"/>
      <c r="F2" s="69"/>
    </row>
    <row r="3" spans="2:6">
      <c r="B3" s="69"/>
      <c r="C3" s="69"/>
      <c r="D3" s="69"/>
      <c r="E3" s="69"/>
      <c r="F3" s="69"/>
    </row>
    <row r="6" spans="2:6">
      <c r="B6" s="70" t="s">
        <v>58</v>
      </c>
      <c r="C6" s="70" t="s">
        <v>49</v>
      </c>
      <c r="D6" s="70"/>
      <c r="E6" s="71" t="s">
        <v>59</v>
      </c>
      <c r="F6" s="72" t="s">
        <v>59</v>
      </c>
    </row>
    <row r="7" spans="2:6">
      <c r="B7" s="73" t="s">
        <v>50</v>
      </c>
      <c r="C7" s="74" t="s">
        <v>42</v>
      </c>
      <c r="D7" s="75"/>
      <c r="E7" s="74" t="s">
        <v>51</v>
      </c>
      <c r="F7" s="75" t="s">
        <v>43</v>
      </c>
    </row>
    <row r="8" spans="2:6" ht="12.75" customHeight="1">
      <c r="B8" s="76">
        <v>2653133</v>
      </c>
      <c r="C8" s="77">
        <v>1394755</v>
      </c>
      <c r="D8" s="78"/>
      <c r="E8" s="82">
        <f>B8*12</f>
        <v>31837596</v>
      </c>
      <c r="F8" s="83" t="e">
        <f>#REF!*12</f>
        <v>#REF!</v>
      </c>
    </row>
    <row r="9" spans="2:6" ht="13.5" customHeight="1">
      <c r="B9" s="79"/>
      <c r="C9" s="80"/>
      <c r="D9" s="81"/>
      <c r="E9" s="84"/>
      <c r="F9" s="85"/>
    </row>
    <row r="10" spans="2:6">
      <c r="F10" s="30"/>
    </row>
    <row r="11" spans="2:6">
      <c r="E11" s="94"/>
      <c r="F11" s="94"/>
    </row>
    <row r="12" spans="2:6">
      <c r="B12" s="70" t="s">
        <v>44</v>
      </c>
      <c r="C12" s="70"/>
      <c r="D12" s="70"/>
      <c r="E12" s="71" t="s">
        <v>45</v>
      </c>
      <c r="F12" s="72"/>
    </row>
    <row r="13" spans="2:6">
      <c r="B13" s="73" t="s">
        <v>46</v>
      </c>
      <c r="C13" s="74"/>
      <c r="D13" s="75"/>
      <c r="E13" s="74" t="s">
        <v>47</v>
      </c>
      <c r="F13" s="75"/>
    </row>
    <row r="14" spans="2:6">
      <c r="B14" s="95">
        <v>0.9</v>
      </c>
      <c r="C14" s="96"/>
      <c r="D14" s="97"/>
      <c r="E14" s="82">
        <f>E8/B14</f>
        <v>35375106.666666664</v>
      </c>
      <c r="F14" s="83"/>
    </row>
    <row r="15" spans="2:6">
      <c r="B15" s="98"/>
      <c r="C15" s="99"/>
      <c r="D15" s="100"/>
      <c r="E15" s="84"/>
      <c r="F15" s="85"/>
    </row>
    <row r="16" spans="2:6">
      <c r="B16" s="50"/>
      <c r="C16" s="50"/>
      <c r="D16" s="50"/>
      <c r="E16" s="52"/>
      <c r="F16" s="52"/>
    </row>
    <row r="18" spans="3:5">
      <c r="C18" s="86" t="s">
        <v>18</v>
      </c>
      <c r="D18" s="87"/>
      <c r="E18" s="88"/>
    </row>
    <row r="19" spans="3:5">
      <c r="C19" s="89"/>
      <c r="D19" s="90"/>
      <c r="E19" s="91"/>
    </row>
    <row r="20" spans="3:5">
      <c r="C20" s="92">
        <f>E14</f>
        <v>35375106.666666664</v>
      </c>
      <c r="D20" s="93"/>
      <c r="E20" s="93"/>
    </row>
    <row r="21" spans="3:5">
      <c r="C21" s="93"/>
      <c r="D21" s="93"/>
      <c r="E21" s="93"/>
    </row>
    <row r="27" spans="3:5">
      <c r="E27" s="30"/>
    </row>
    <row r="41" spans="3:8">
      <c r="C41" s="66"/>
      <c r="D41" s="66"/>
      <c r="E41" s="66"/>
      <c r="F41" s="66"/>
      <c r="G41" s="66"/>
      <c r="H41" s="66"/>
    </row>
    <row r="42" spans="3:8">
      <c r="C42" s="66"/>
      <c r="D42" s="66"/>
      <c r="E42" s="66"/>
      <c r="F42" s="66"/>
      <c r="G42" s="66"/>
      <c r="H42" s="66"/>
    </row>
    <row r="43" spans="3:8">
      <c r="C43" s="66"/>
      <c r="D43" s="66"/>
      <c r="E43" s="66"/>
      <c r="F43" s="66"/>
      <c r="G43" s="66"/>
      <c r="H43" s="66"/>
    </row>
    <row r="44" spans="3:8">
      <c r="C44" s="66"/>
      <c r="D44" s="66"/>
      <c r="E44" s="66"/>
      <c r="F44" s="66"/>
      <c r="G44" s="66"/>
      <c r="H44" s="66"/>
    </row>
    <row r="45" spans="3:8">
      <c r="C45" s="66"/>
      <c r="D45" s="66"/>
      <c r="E45" s="66"/>
      <c r="F45" s="66"/>
      <c r="G45" s="66"/>
      <c r="H45" s="66"/>
    </row>
    <row r="46" spans="3:8">
      <c r="C46" s="66"/>
      <c r="D46" s="66"/>
      <c r="E46" s="66"/>
      <c r="F46" s="66"/>
      <c r="G46" s="66"/>
      <c r="H46" s="66"/>
    </row>
    <row r="47" spans="3:8">
      <c r="C47" s="66"/>
      <c r="D47" s="66"/>
      <c r="E47" s="66"/>
      <c r="F47" s="66"/>
      <c r="G47" s="66"/>
      <c r="H47" s="66"/>
    </row>
  </sheetData>
  <mergeCells count="16">
    <mergeCell ref="B8:D9"/>
    <mergeCell ref="E8:F9"/>
    <mergeCell ref="C18:E19"/>
    <mergeCell ref="C20:E21"/>
    <mergeCell ref="E11:F11"/>
    <mergeCell ref="B12:D12"/>
    <mergeCell ref="E12:F12"/>
    <mergeCell ref="B13:D13"/>
    <mergeCell ref="E13:F13"/>
    <mergeCell ref="B14:D15"/>
    <mergeCell ref="E14:F15"/>
    <mergeCell ref="B2:F3"/>
    <mergeCell ref="B6:D6"/>
    <mergeCell ref="E6:F6"/>
    <mergeCell ref="B7:D7"/>
    <mergeCell ref="E7:F7"/>
  </mergeCells>
  <printOptions horizontalCentered="1"/>
  <pageMargins left="0.7" right="0.7" top="1.25" bottom="0.75" header="0.75" footer="0.3"/>
  <pageSetup orientation="landscape" r:id="rId1"/>
  <headerFooter>
    <oddHeader>&amp;C&amp;"Times New Roman,Bold"&amp;14Louisville Gas and Electric Company&amp;12
Supplemental / Standby Rate Cost Support</oddHeader>
    <oddFooter>&amp;R&amp;"Times New Roman,Bold"&amp;12Conroy Exhibit M3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 System - Unit Demand Cost</vt:lpstr>
      <vt:lpstr>Primary Dist. Unit Costs</vt:lpstr>
      <vt:lpstr>Secondary Dist. Unit Costs</vt:lpstr>
      <vt:lpstr>Demand Calc</vt:lpstr>
      <vt:lpstr>'Demand Calc'!Print_Area</vt:lpstr>
      <vt:lpstr>'Primary Dist. Unit Costs'!Print_Area</vt:lpstr>
      <vt:lpstr>'Secondary Dist. Unit Costs'!Print_Area</vt:lpstr>
      <vt:lpstr>'Total System - Unit Demand Cost'!Print_Area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Robert M. Conroy</cp:lastModifiedBy>
  <cp:lastPrinted>2012-06-15T12:11:33Z</cp:lastPrinted>
  <dcterms:created xsi:type="dcterms:W3CDTF">2010-03-25T15:54:04Z</dcterms:created>
  <dcterms:modified xsi:type="dcterms:W3CDTF">2012-06-15T12:14:32Z</dcterms:modified>
</cp:coreProperties>
</file>